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tabRatio="768" activeTab="3"/>
  </bookViews>
  <sheets>
    <sheet name="encargos" sheetId="1" r:id="rId1"/>
    <sheet name="COMP. BDI" sheetId="2" r:id="rId2"/>
    <sheet name="Memorial de cálculo" sheetId="3" r:id="rId3"/>
    <sheet name="COMPOSIÇÕES" sheetId="4" r:id="rId4"/>
    <sheet name="Planilha" sheetId="5" r:id="rId5"/>
    <sheet name="Resumo" sheetId="6" r:id="rId6"/>
    <sheet name="Cronograma" sheetId="7" r:id="rId7"/>
  </sheets>
  <externalReferences>
    <externalReference r:id="rId10"/>
    <externalReference r:id="rId11"/>
  </externalReferences>
  <definedNames>
    <definedName name="_xlnm.Print_Area" localSheetId="1">'COMP. BDI'!$A$1:$C$32</definedName>
    <definedName name="_xlnm.Print_Area" localSheetId="3">'COMPOSIÇÕES'!$A$1:$F$92</definedName>
    <definedName name="_xlnm.Print_Area" localSheetId="6">'Cronograma'!$A$1:$K$27</definedName>
    <definedName name="_xlnm.Print_Area" localSheetId="2">'Memorial de cálculo'!$A$1:$D$88</definedName>
    <definedName name="_xlnm.Print_Area" localSheetId="4">'Planilha'!$A$1:$I$66</definedName>
    <definedName name="_xlnm.Print_Area" localSheetId="5">'Resumo'!$A$1:$E$24</definedName>
    <definedName name="e" localSheetId="1">'[1]Planilha'!#REF!</definedName>
    <definedName name="e">'Planilha'!#REF!</definedName>
    <definedName name="_xlnm.Print_Titles" localSheetId="2">'Memorial de cálculo'!$4:$4</definedName>
    <definedName name="_xlnm.Print_Titles" localSheetId="4">'Planilha'!$1:$9</definedName>
  </definedNames>
  <calcPr fullCalcOnLoad="1"/>
</workbook>
</file>

<file path=xl/sharedStrings.xml><?xml version="1.0" encoding="utf-8"?>
<sst xmlns="http://schemas.openxmlformats.org/spreadsheetml/2006/main" count="638" uniqueCount="358">
  <si>
    <t>SUBTOTAL</t>
  </si>
  <si>
    <t>Descrição</t>
  </si>
  <si>
    <t>BDI:</t>
  </si>
  <si>
    <t>TOTAL GERAL DO ORÇAMENTO</t>
  </si>
  <si>
    <t>E T A P A S</t>
  </si>
  <si>
    <t>VALOR</t>
  </si>
  <si>
    <t>%</t>
  </si>
  <si>
    <t>RESUMO DA PLANILHA ORÇAMENTÁRIA</t>
  </si>
  <si>
    <t>Data:</t>
  </si>
  <si>
    <t>CRONOGRAMA FISICO FINANCEIRO</t>
  </si>
  <si>
    <t>DESCRIÇÃO / ETAPA</t>
  </si>
  <si>
    <t>PERIODO</t>
  </si>
  <si>
    <t>À Executar</t>
  </si>
  <si>
    <t>Total</t>
  </si>
  <si>
    <t>Valor(R$)</t>
  </si>
  <si>
    <t>VALOR TOTAL</t>
  </si>
  <si>
    <t>VALOR ACUMULADO</t>
  </si>
  <si>
    <t>OBRA:</t>
  </si>
  <si>
    <t>ASSUNTO:</t>
  </si>
  <si>
    <t>Item</t>
  </si>
  <si>
    <t>Vlr Unit</t>
  </si>
  <si>
    <t>Quant</t>
  </si>
  <si>
    <t>Vlr Total</t>
  </si>
  <si>
    <t>Unid</t>
  </si>
  <si>
    <t>30 dias</t>
  </si>
  <si>
    <t>60 dias</t>
  </si>
  <si>
    <t xml:space="preserve">CODIGO </t>
  </si>
  <si>
    <t>m²</t>
  </si>
  <si>
    <t>SERVIÇOS PRELIMINARES</t>
  </si>
  <si>
    <t>m</t>
  </si>
  <si>
    <t>m³</t>
  </si>
  <si>
    <t>kg</t>
  </si>
  <si>
    <t>h</t>
  </si>
  <si>
    <t>CONSTRUÇÃO</t>
  </si>
  <si>
    <t>Data</t>
  </si>
  <si>
    <t>Cód Composição</t>
  </si>
  <si>
    <t>unid</t>
  </si>
  <si>
    <t>COMPOSIÇÕES DE CUSTO UNITÁRIO</t>
  </si>
  <si>
    <t>Descrição dos Serviços</t>
  </si>
  <si>
    <t>unidade</t>
  </si>
  <si>
    <t>quantidade</t>
  </si>
  <si>
    <t>valor unitário</t>
  </si>
  <si>
    <t>valor total</t>
  </si>
  <si>
    <t>COD:</t>
  </si>
  <si>
    <t>TOTAL</t>
  </si>
  <si>
    <t>FUNDAÇÃO</t>
  </si>
  <si>
    <t>90 dias</t>
  </si>
  <si>
    <t>ENDEREÇO:</t>
  </si>
  <si>
    <t>PLANILHA ORÇAMENTÁRIA</t>
  </si>
  <si>
    <t>MEMÓRIA DE CALCULO</t>
  </si>
  <si>
    <t>SERVIÇO:</t>
  </si>
  <si>
    <t>MEMÓRIA:</t>
  </si>
  <si>
    <t>UNIDADE</t>
  </si>
  <si>
    <t>COMP. 006</t>
  </si>
  <si>
    <t>0001</t>
  </si>
  <si>
    <t>0001.1.1</t>
  </si>
  <si>
    <t>ITEM</t>
  </si>
  <si>
    <t>LOCAÇÃO DA OBRA</t>
  </si>
  <si>
    <t>LASTRO DE CONCRETO MAGRO PARA PISO</t>
  </si>
  <si>
    <t>FORMA EM TÁBUA DE 3ª</t>
  </si>
  <si>
    <t>PINTURA ACRÍLICA EM PISO</t>
  </si>
  <si>
    <t>PINTURA DE FAIXA DE DEMARCAÇÃO</t>
  </si>
  <si>
    <t>ALAMBRADO  QUADRA</t>
  </si>
  <si>
    <t>PISO DA QUADRA</t>
  </si>
  <si>
    <t>LASTRO DE CONCRETO MAGRO, APLICADO EM PISOS OU RADIERS. AF_08/2017</t>
  </si>
  <si>
    <t>FECHAMENTO</t>
  </si>
  <si>
    <t>MOVIMENTO DE TERRA</t>
  </si>
  <si>
    <t>ALAMBRADO</t>
  </si>
  <si>
    <t>Composição da Parcela de BDI (Bonificações e Despesas Indiretas) SEM DESONERAÇÃO - Obras e Serviços</t>
  </si>
  <si>
    <t>Referência</t>
  </si>
  <si>
    <t>Itens relativos à Administração da Obra</t>
  </si>
  <si>
    <t>AC - Administração Central</t>
  </si>
  <si>
    <t>quartil médio</t>
  </si>
  <si>
    <t>DF - Custos Financeiros</t>
  </si>
  <si>
    <t>C - Riscos</t>
  </si>
  <si>
    <t>S - Seguros e Garantias</t>
  </si>
  <si>
    <t>Sub-total</t>
  </si>
  <si>
    <t>Lucro</t>
  </si>
  <si>
    <t>L - Lucro/Remuneração</t>
  </si>
  <si>
    <t>MLC=MBC-IRPJ-CSLL</t>
  </si>
  <si>
    <t>MLC=8,8-1,08-1,2</t>
  </si>
  <si>
    <t>I - Taxas e Impostos</t>
  </si>
  <si>
    <t>PIS</t>
  </si>
  <si>
    <t>COFINS</t>
  </si>
  <si>
    <t>ISSQN</t>
  </si>
  <si>
    <t>5% de 40%-Refere-se a % de MDO</t>
  </si>
  <si>
    <t>BDI=</t>
  </si>
  <si>
    <t>LOCACAO CONVENCIONAL DE OBRA, UTILIZANDO GABARITO DE TÁBUAS CORRIDAS PONTALETADAS A CADA 2,00M - 2 UTILIZAÇÕES. AF_10/2018</t>
  </si>
  <si>
    <t>EXECUÇÃO DE PASSEIO (CALÇADA) OU PISO DE CONCRETO COM CONCRETO MOLDADO IN LOCO, FEITO EM OBRA, ACABAMENTO CONVENCIONAL, NÃO ARMADO. AF_07/20</t>
  </si>
  <si>
    <t>COMP. 007</t>
  </si>
  <si>
    <t>FABRICAÇÃO, MONTAGEM E DESMONTAGEM DE FORMA PARA RADIER, EM MADEIRA SERRADA, 4 UTILIZAÇÕES. AF_09/2017</t>
  </si>
  <si>
    <t>ESCAVAÇÃO MANUAL DE VALA COM PROFUNDIDADE MENOR OU IGUAL A 1,30 M. AF_03/2016</t>
  </si>
  <si>
    <t>COMP. 008</t>
  </si>
  <si>
    <t>SERVENTE COM ENCARGOS COMPLEMENTARES</t>
  </si>
  <si>
    <t>BROCAS DE CONCRETO D=20CM</t>
  </si>
  <si>
    <t>COMP. 009</t>
  </si>
  <si>
    <t>AJUDANTE DE ARMADOR COM ENCARGOS COMPLEMENTARES</t>
  </si>
  <si>
    <t>ARMADOR COM ENCARGOS COMPLEMENTARES</t>
  </si>
  <si>
    <t>ESPACADOR / DISTANCIADOR CIRCULAR COM ENTRADA LATERAL, EM PLASTICO, PARA VERGALHAO *4,2 A 12,5* MM, COBRIMENTO 20 MM</t>
  </si>
  <si>
    <t>ARMAÇÃO DE BROCAS COM CA 60 5,0MM</t>
  </si>
  <si>
    <t>ARMAÇÃO DE BROCAS COM CA 50 10,0MM</t>
  </si>
  <si>
    <t>CORTE E DOBRA DE AÇO CA-50, DIÂMETRO DE 10,0 MM, UTILIZADO EM ESTRUTURAS DIVERSAS, EXCETO LAJES. AF_12/2015</t>
  </si>
  <si>
    <t>PEDREIRO COM ENCARGOS COMPLEMENTARES</t>
  </si>
  <si>
    <t>GRAUTE FGK=20 MPA; TRAÇO 1:0,04:1,6:1,9 (CIMENTO/ CAL/ AREIA GROSSA/ BRITA 0) - PREPARO MECÂNICO COM BETONEIRA 400 L. AF_02/2015</t>
  </si>
  <si>
    <t>CORTE E DOBRA DE AÇO CA-50, DIÂMETRO DE 8,0 MM, UTILIZADO EM ESTRUTURAS DIVERSAS, EXCETO LAJES. AF_12/2015</t>
  </si>
  <si>
    <t xml:space="preserve">un </t>
  </si>
  <si>
    <t>MURETA EM CANALETA DE CONCRETO</t>
  </si>
  <si>
    <t>ESCAVAÇÃO MANUAL DE VIGA DE BORDA PARA RADIER. AF_09/2017</t>
  </si>
  <si>
    <t>ESCAVAÇÃO DE BALDRAMES SEM FORMA - MURETA - BORDAS DO PISO DA QUADRA</t>
  </si>
  <si>
    <t>PREPARO FUNDO DE VALA</t>
  </si>
  <si>
    <t>LASTRO DE CONCRETO MAGRO ESP=5CM</t>
  </si>
  <si>
    <t>CANALETA CONCRETO ESTRUTURAL 14 X 19 X 39 CM, FBK 4,5 MPA (NBR 6136)</t>
  </si>
  <si>
    <t>LASTRO DE CONCRETO MAGRO, APLICADO EM BLOCOS DE COROAMENTO OU SAPATAS.AF_08/2017</t>
  </si>
  <si>
    <t>para confecção mureta</t>
  </si>
  <si>
    <t xml:space="preserve">ESCALA SALARIAL DE MÃO-DE-OBRA </t>
  </si>
  <si>
    <t>CÓDIGO</t>
  </si>
  <si>
    <t>DESCRIÇÃO</t>
  </si>
  <si>
    <t>SEM DESONERAÇÃO</t>
  </si>
  <si>
    <t>HORISTA (%)</t>
  </si>
  <si>
    <t>MENSALISTA (%)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</si>
  <si>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</si>
  <si>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</si>
  <si>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</si>
  <si>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</si>
  <si>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</si>
  <si>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</si>
  <si>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</si>
  <si>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</si>
  <si>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</si>
  <si>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</si>
  <si>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</si>
  <si>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</si>
  <si>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Salario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</si>
  <si>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</si>
  <si>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</si>
  <si>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</si>
  <si>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</si>
  <si>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</si>
  <si>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</si>
  <si>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</si>
  <si>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GRUPO B</t>
  </si>
  <si>
    <t>B1</t>
  </si>
  <si>
    <t>Repouso Semanal Remunerado</t>
  </si>
  <si>
    <t>Não incide</t>
  </si>
  <si>
    <t>B2</t>
  </si>
  <si>
    <t>Feriados</t>
  </si>
  <si>
    <t>B3</t>
  </si>
  <si>
    <t>Auxilio - Enfermidade</t>
  </si>
  <si>
    <t>B4</t>
  </si>
  <si>
    <t>13º Salario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</si>
  <si>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</si>
  <si>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</si>
  <si>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</si>
  <si>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</si>
  <si>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</si>
  <si>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</si>
  <si>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</si>
  <si>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</si>
  <si>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</si>
  <si>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</si>
  <si>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</si>
  <si>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</si>
  <si>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</si>
  <si>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</si>
  <si>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</si>
  <si>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</si>
  <si>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</si>
  <si>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</si>
  <si>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</si>
  <si>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</si>
  <si>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</si>
  <si>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</si>
  <si>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</si>
  <si>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</si>
  <si>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</si>
  <si>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</si>
  <si>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</si>
  <si>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>Reincidência de Grupo A Sobre Grupo B</t>
  </si>
  <si>
    <t>D2</t>
  </si>
  <si>
    <t>Reincidência de Grupo A Sobre Aviso Prévio Trabalhado e Reincidência do FGTS Sobre Aviso Prévio Indenizado</t>
  </si>
  <si>
    <t>D</t>
  </si>
  <si>
    <t>TOTAL (A+B+C+D)</t>
  </si>
  <si>
    <t xml:space="preserve">Composição de referência: Sinapi 01/2020, código 93205, substituindo o insumo 659 ( canaleta de concreto na composição de referência ) pelo 38597 por conta da especificação do serviço do projeto. O coeficiente de consumo do código 38597 foi calculado: 1m de mureta/0,39m( comprimento da canaleta de concreto ) = 2,56 un </t>
  </si>
  <si>
    <t>LANÇAMENTO COM USO DE BALDES, ADENSAMENTO E ACABAMENTO DE CONCRETO EM ESTRUTURAS. AF_12/2015</t>
  </si>
  <si>
    <t>EXECUÇÃO DE PASSEIO (CALÇADA) OU PISO DE CONCRETO COM CONCRETO MOLDADO IN LOCO, USINADO, ACABAMENTO CONVENCIONAL, ESPESSURA 8 CM, ARMADO. AF_07/2016</t>
  </si>
  <si>
    <t>PLANTIO DE GRAMA EM PLACAS. AF_05/2018</t>
  </si>
  <si>
    <t>PREPARO DE FUNDO DE VALA COM LARGURA MENOR QUE 1,5 M (ACERTO DO SOLO NATURAL). AF_08/2020</t>
  </si>
  <si>
    <t>M2</t>
  </si>
  <si>
    <t/>
  </si>
  <si>
    <t>M</t>
  </si>
  <si>
    <t>1,0000000</t>
  </si>
  <si>
    <t>KG</t>
  </si>
  <si>
    <t>H</t>
  </si>
  <si>
    <t>88316</t>
  </si>
  <si>
    <t>M3</t>
  </si>
  <si>
    <t>UN</t>
  </si>
  <si>
    <t>0,5000000</t>
  </si>
  <si>
    <t>COMP. 005</t>
  </si>
  <si>
    <t>TRATAMENTO EM  CONCRETO COM ESTUQUE E LIXAMENTO</t>
  </si>
  <si>
    <t>CIMENTO PORTLAND COMPOSTO CP II-32</t>
  </si>
  <si>
    <t>0,1500000</t>
  </si>
  <si>
    <t>1380</t>
  </si>
  <si>
    <t>CIMENTO BRANCO</t>
  </si>
  <si>
    <t>3768</t>
  </si>
  <si>
    <t>LIXA EM FOLHA PARA FERRO, NUMERO 150</t>
  </si>
  <si>
    <t>0,1700000</t>
  </si>
  <si>
    <t>11849</t>
  </si>
  <si>
    <t>COLA BRANCA BASE PVA</t>
  </si>
  <si>
    <t>L</t>
  </si>
  <si>
    <t>0,1000000</t>
  </si>
  <si>
    <t>26019</t>
  </si>
  <si>
    <t>DISCO DE DESBASTE PARA METAL FERROSO EM GERAL, COM TRES TELAS,  9 X 1/4 X 7/8 " (228,6 X 6,4 X 22,2 MM)</t>
  </si>
  <si>
    <t>0,0400000</t>
  </si>
  <si>
    <t>Composição de referência: Sinapi 12/2019, código 84656</t>
  </si>
  <si>
    <t>CONSTRUÇÃO DE QUADRA DE BASQUETE</t>
  </si>
  <si>
    <t>18,10+18,10+14,25+14,25</t>
  </si>
  <si>
    <t>18,10 * 14,10m²</t>
  </si>
  <si>
    <t>COMPACTAÇÃO MECÂNICA DE SOLO PARA EXECUÇÃO DE RADIER, COM COMPACTADOR DE SOLOS A PERCUSSÃO. AF_09/2017</t>
  </si>
  <si>
    <t>ÁREA DE PISO 255,21 * 3CM</t>
  </si>
  <si>
    <t>(18,10*2+14,10*2)*0,10</t>
  </si>
  <si>
    <t>PINTURA DE PISO COM TINTA EPÓXI, APLICAÇÃO MANUAL, 2 DEMÃOS, INCLUSO PRIMER EPÓXI. AF_05/2021</t>
  </si>
  <si>
    <t>PINTURA DE DEMARCAÇÃO DE QUADRA POLIESPORTIVA COM TINTA EPÓXI, E = 5 CM, APLICAÇÃO MANUAL. AF_05/2021</t>
  </si>
  <si>
    <t>16,93+16,93+106,49</t>
  </si>
  <si>
    <t>5,00+5,00+18,40</t>
  </si>
  <si>
    <t>(5,00+5,00+18,40)*0,14M ( 5CM DE LASTRO )</t>
  </si>
  <si>
    <t>(5,00+5,00+18,40)*0,14M</t>
  </si>
  <si>
    <t>(5,00+5,00+18,40)*0,14*0,05 (  5CM DE LASTRO )</t>
  </si>
  <si>
    <t>13unid*1,00m</t>
  </si>
  <si>
    <t>BASQUETE (0,40*4)+(0,10*6)+52,40+20,43+3,02+3,02+16,65+5,42</t>
  </si>
  <si>
    <t>COTAÇÃO</t>
  </si>
  <si>
    <t>CONCRETO FCK = 25MPA, TRAÇO 1:2,3:2,7 (EM MASSA SECA DE CIMENTO/ AREIA MÉDIA/ BRITA 1) - PREPARO MECÂNICO COM BETONEIRA 400 L. AF_05/2021</t>
  </si>
  <si>
    <t>QUADRO DE COTAÇÕES</t>
  </si>
  <si>
    <t>DATA:</t>
  </si>
  <si>
    <t>EMPRESA/ CNPJ</t>
  </si>
  <si>
    <t>VENDEDOR</t>
  </si>
  <si>
    <t>TEL.</t>
  </si>
  <si>
    <t>(17) 3214-8585</t>
  </si>
  <si>
    <t>Giuliano Lobato</t>
  </si>
  <si>
    <t xml:space="preserve">MARCINHO SPORTES                       CNPJ: 24.126.601/0001-03 </t>
  </si>
  <si>
    <t>Marcio Borges da Silva</t>
  </si>
  <si>
    <t>MENOR VALOR</t>
  </si>
  <si>
    <t>COMP. 010</t>
  </si>
  <si>
    <t>VITA FITNESS ARTIGOS ESPORTIVOS EIRELI
CNPJ 41.093.695/0001-80</t>
  </si>
  <si>
    <t>1 UNIDADE</t>
  </si>
  <si>
    <t>TABELA DE BASQUETE, VITA ESTRUTURA FIXA BASKET PLUS, OU SIMILAR,  CONFORME DETALHE CONTIDO NO PROJETO PRANCHA 03/04</t>
  </si>
  <si>
    <t>101173</t>
  </si>
  <si>
    <t>88309</t>
  </si>
  <si>
    <t>0,4860000</t>
  </si>
  <si>
    <t>0,6650000</t>
  </si>
  <si>
    <t>CONCRETO FCK = 20MPA, TRAÇO 1:2,7:3 (EM MASSA SECA DE CIMENTO/ AREIA MÉDIA/ BRITA 1) - PREPARO MECÂNICO COM BETONEIRA 600 L. AF_05/2021</t>
  </si>
  <si>
    <t>0,0430000</t>
  </si>
  <si>
    <t>0,5430000</t>
  </si>
  <si>
    <t>43132</t>
  </si>
  <si>
    <t>ARAME RECOZIDO 16 BWG, D = 1,65 MM (0,016 KG/M) OU 18 BWG, D = 1,25 MM (0,01 KG/M)</t>
  </si>
  <si>
    <t>0,0250000</t>
  </si>
  <si>
    <t>0,0086000</t>
  </si>
  <si>
    <t>88245</t>
  </si>
  <si>
    <t>0,0529000</t>
  </si>
  <si>
    <t>CORTE E DOBRA DE AÇO CA-60, DIÂMETRO DE 5,0 MM, UTILIZADO EM ESTRUTURAS DIVERSAS, EXCETO LAJES. AF_12/2015</t>
  </si>
  <si>
    <t>Composição de referência: Sinapi 07/2021, código 92884</t>
  </si>
  <si>
    <t>ESCAVAÇÃO = 1,50*1,00*0,55</t>
  </si>
  <si>
    <t>PREPARO DE FUNDO = 1,50*1,00</t>
  </si>
  <si>
    <t>ESTACA = 1,40*2,00</t>
  </si>
  <si>
    <t>AÇO CA60 5mm = 4,00kg</t>
  </si>
  <si>
    <t>AÇO CA50 6.3mm = 8,00kg</t>
  </si>
  <si>
    <t>AÇO CA50 10.00mm = 3,00kg</t>
  </si>
  <si>
    <t>CORTE E DOBRA DE AÇO CA-50, DIÂMETRO DE 6,3 MM, UTILIZADO EM ESTRUTURAS DIVERSAS, EXCETO LAJES. AF_12/2015</t>
  </si>
  <si>
    <t>COMP. 012</t>
  </si>
  <si>
    <t>FORMA = 1,50+1,50+1,00+1,00*0,50</t>
  </si>
  <si>
    <t>CONCRETO MAGRO PARA LASTRO, TRAÇO 1:4,5:4,5 (EM MASSA SECA DE CIMENTO/AREIA MÉDIA/ BRITA 1) - PREPARO MECÂNICO COM BETONEIRA 400 L. AF_05/2021</t>
  </si>
  <si>
    <t>LASTRO DE CONCRETO = 1,50*1,00*0,05</t>
  </si>
  <si>
    <t>CONCRETO = 1,50*1,00*0,50</t>
  </si>
  <si>
    <t>LANÇAMENTO = 1,50*1,00*0,50</t>
  </si>
  <si>
    <t>MURETA EM BLOCO CANALETA DE CONCRETO DE 14X19X39CM ENCHIMENTO COM GRAUTE FCK 20MPA E FERRO DE 8.0MM CORRIDO</t>
  </si>
  <si>
    <t>Composição de referência: Sinapi 07/2021, código 92882</t>
  </si>
  <si>
    <t xml:space="preserve">ARMAÇÃO UTILIZANDO AÇO CA-60 DE 5,0 MM - MONTAGEM. </t>
  </si>
  <si>
    <t xml:space="preserve">ARMAÇÃO UTILIZANDO AÇO CA-50 DE 10,0 MM - MONTAGEM. </t>
  </si>
  <si>
    <t xml:space="preserve">ARMAÇÃO UTILIZANDO AÇO CA-50 DE 6,3 MM - MONTAGEM. </t>
  </si>
  <si>
    <t>EQUIPAMENTO</t>
  </si>
  <si>
    <t>EQUIPAMENTOS ESPORTIVOS</t>
  </si>
  <si>
    <t>TABELA DE BASQUETE COM ESTRUTURA METÁLICA E REQUADRO EM VIDRO, CONFORME ESPECIFICAÇÕES DO PROJETO - FORNECIMENTO E INSTALAÇÃO</t>
  </si>
  <si>
    <t>FUNDAÇÃO TABELA DE BASQUETE</t>
  </si>
  <si>
    <t>FABRICAÇÃO, MONTAGEM E DESMONTAGEM DE FÔRMA PARA BLOCO DE COROAMENTO, EM MADEIRA SERRADA, E=25 MM, 2 UTILIZAÇÕES. AF_06/2017</t>
  </si>
  <si>
    <t>AJUDANTE DE ESTRUTURA METÁLICA COM ENCARGOS COMPLEMENTARES</t>
  </si>
  <si>
    <t>MONTADOR DE ESTRUTURA METÁLICA COM ENCARGOS COMPLEMENTARES</t>
  </si>
  <si>
    <t>h/kg</t>
  </si>
  <si>
    <t>Composição de referência: Sinapi 07/2021, código 100766, a referência é para montagem e instalação de pilar metálico e é dada em kg, por se tratar apenas de instalação (a estrutura é fornecida pronta e acabada), foi utilizada apenas a mão-de-obra e os equipamentos para a instalação, transformando os coeficientes para uma unidade conforme cálculo demonstrado abaixo. A estrutura pesa em média 185 kg, conforme informações do site https://www.vitally.com.br/tabela-de-basquete-fixa-mod.-ba073-par, que possui tabela equivalente.</t>
  </si>
  <si>
    <t>GUINDASTE HIDRÁULICO AUTOPROPELIDO, COM LANÇA TELESCÓPICA 40 M, CAPACIDADE MÁXIMA 60 T, POTÊNCIA 260 KW - CHI DIURNO. AF_03/2016</t>
  </si>
  <si>
    <t>CHI</t>
  </si>
  <si>
    <t>CHI/kg</t>
  </si>
  <si>
    <t>GUINDASTE HIDRÁULICO AUTOPROPELIDO, COM LANÇA TELESCÓPICA 40 M, CAPACIDADE MÁXIMA 60 T, POTÊNCIA 260 KW - CHP DIURNO. AF_03/2016</t>
  </si>
  <si>
    <t>CHP</t>
  </si>
  <si>
    <t>CHP/kg</t>
  </si>
  <si>
    <t>ESTACA BROCA DE CONCRETO, DIÂMETRO DE 20CM, ESCAVAÇÃO MANUAL COM TRADO CONCHA,SEM ARMAÇÃO</t>
  </si>
  <si>
    <t>Composição de referência: Sinapi 06/2021, código 101173 - retirando o serviço de código 92794 da armação</t>
  </si>
  <si>
    <t>ARGAMASSA TRAÇO 1:2:9 (EM VOLUME DE CIMENTO, CAL E AREIA MÉDIA ÚMIDA) PARA EMBOÇO/MASSA ÚNICA/ASSENTAMENTO DE ALVENARIA DE VEDAÇÃO, PREPARO MECÂNICO COM BETONEIRA 600 L. AF_08/2019</t>
  </si>
  <si>
    <t>(66) 3023-4102</t>
  </si>
  <si>
    <t xml:space="preserve">UN </t>
  </si>
  <si>
    <t>ALAMBRADO PARA QUADRA POLIESPORTIVA, ESTRUTURADO POR TUBOS DE ACO GALVANIZADO, (MONTANTES COM DIAMETRO 2", TRAVESSAS E ESCORAS COM DIÂMETRO 1 ¼), COM TELA DE ARAME GALVANIZADO, FIO 14 BWG E MALHA QUADRADA 5X5CM (EXCETO MURETA). AF_03/2021</t>
  </si>
  <si>
    <t>TOTAL EQUIPAMENTOS ESPORTIVOS</t>
  </si>
  <si>
    <t>TOTAL FECHAMENTO</t>
  </si>
  <si>
    <t>TOTAL  - CONSTRUÇÃO DA QUADRA DE BASQUETE</t>
  </si>
  <si>
    <t>Importa o presente orçamento em: R$</t>
  </si>
  <si>
    <t>R. N. DIAS CONSULTORIA E PROJETOS – ME</t>
  </si>
  <si>
    <t>CNPJ 40.600.695/0001-67</t>
  </si>
  <si>
    <t>ROGÉRIO NOGUEIRA DIAS</t>
  </si>
  <si>
    <t>ARQUITETO E URBANISTA</t>
  </si>
  <si>
    <t>CAU A76801-4</t>
  </si>
  <si>
    <t>(18,10 * 14,10) + 102,09</t>
  </si>
  <si>
    <t>102,09m² * 0,06</t>
  </si>
  <si>
    <t>( 291,50m²)</t>
  </si>
  <si>
    <t>( 291,50m²)*0,05</t>
  </si>
  <si>
    <t>6 UNIDADES</t>
  </si>
  <si>
    <t>UND</t>
  </si>
  <si>
    <t>PLANTIO DE PALMEIRA COM ALTURA DE MUDA MENOR OU IGUAL A 2,00 M. AF_05/2018</t>
  </si>
  <si>
    <t>CONSTRUÇÃO DE QUADRA DE BASQUETE STREETBALL, NO MUNICÍPIO DE JACIARA - MT</t>
  </si>
  <si>
    <t xml:space="preserve">ENTRE AS RUAS 08 E 09, BAIRRO ZÉ ARAÇA, JACIARA - MT  </t>
  </si>
  <si>
    <t>Preços Base Boletim Sinapi Agosto/2021 não desonerado</t>
  </si>
  <si>
    <t>0001.1</t>
  </si>
  <si>
    <t>0001.2</t>
  </si>
  <si>
    <t>0001.2.1</t>
  </si>
  <si>
    <t>0001.2.2</t>
  </si>
  <si>
    <t>0001.2.3</t>
  </si>
  <si>
    <t>0001.2.4</t>
  </si>
  <si>
    <t>0001.2.5</t>
  </si>
  <si>
    <t>0001.2.6</t>
  </si>
  <si>
    <t>0001.2.7</t>
  </si>
  <si>
    <t>0001.2.8</t>
  </si>
  <si>
    <t>0001.2.9</t>
  </si>
  <si>
    <t>0001.2.10</t>
  </si>
  <si>
    <t>0003.3</t>
  </si>
  <si>
    <t>0001.3.1</t>
  </si>
  <si>
    <t>0001.3.1.1</t>
  </si>
  <si>
    <t>0001.3.1.2</t>
  </si>
  <si>
    <t>0001.3.2</t>
  </si>
  <si>
    <t>0001.3.2.1</t>
  </si>
  <si>
    <t>0001.3.2.2</t>
  </si>
  <si>
    <t>0001.3.2.3</t>
  </si>
  <si>
    <t>0001.3.2.4</t>
  </si>
  <si>
    <t>0001.3.2.5</t>
  </si>
  <si>
    <t>0001.3.3</t>
  </si>
  <si>
    <t>0001.3.3.1</t>
  </si>
  <si>
    <t>0001.4</t>
  </si>
  <si>
    <t>0001.4.1</t>
  </si>
  <si>
    <t>0001.4.1.1</t>
  </si>
  <si>
    <t>0001.4.1.2</t>
  </si>
  <si>
    <t>0001.4.1.3</t>
  </si>
  <si>
    <t>0001.4.1.4</t>
  </si>
  <si>
    <t>0001.4.1.5</t>
  </si>
  <si>
    <t>0001.4.1.6</t>
  </si>
  <si>
    <t>0001.4.1.7</t>
  </si>
  <si>
    <t>0001.4.1.8</t>
  </si>
  <si>
    <t>0001.4.1.9</t>
  </si>
  <si>
    <t>0001.4.1.10</t>
  </si>
  <si>
    <t>0001.4.2</t>
  </si>
  <si>
    <t>0001.4.2.1</t>
  </si>
  <si>
    <t>CENTO VINTE E QUATRO MIL, SETECENTOS E OITO REAIS E SEIS CENTAVOS</t>
  </si>
  <si>
    <t xml:space="preserve"> 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</si>
</sst>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0"/>
    <numFmt numFmtId="179" formatCode="dd/mm/yy"/>
    <numFmt numFmtId="180" formatCode="#,##0.00000"/>
    <numFmt numFmtId="181" formatCode="000"/>
    <numFmt numFmtId="182" formatCode="#,##0.0000"/>
    <numFmt numFmtId="183" formatCode="#,##0.00;[Red]#,##0.00"/>
    <numFmt numFmtId="184" formatCode="######0.000000"/>
    <numFmt numFmtId="185" formatCode="###,###,##0.00"/>
    <numFmt numFmtId="186" formatCode="_(* #,##0.000000_);_(* \(#,##0.000000\);_(* &quot;-&quot;??_);_(@_)"/>
    <numFmt numFmtId="187" formatCode="###,###,##0.00\ "/>
    <numFmt numFmtId="188" formatCode="0.000000"/>
    <numFmt numFmtId="189" formatCode="[$-416]dddd\,\ d&quot; de &quot;mmmm&quot; de &quot;yyyy"/>
    <numFmt numFmtId="190" formatCode="[$-416]mmmm\-yy;@"/>
    <numFmt numFmtId="191" formatCode="0.0"/>
    <numFmt numFmtId="192" formatCode="&quot;R$&quot;\ #,##0.00"/>
    <numFmt numFmtId="193" formatCode="_(* #,##0.000_);_(* \(#,##0.000\);_(* &quot;-&quot;??_);_(@_)"/>
    <numFmt numFmtId="194" formatCode="#,##0.00_ ;\-#,##0.00\ "/>
    <numFmt numFmtId="195" formatCode="#,##0.000;[Red]#,##0.000"/>
    <numFmt numFmtId="196" formatCode="#,##0.0000;[Red]#,##0.0000"/>
    <numFmt numFmtId="197" formatCode="#,##0.000"/>
    <numFmt numFmtId="198" formatCode="yyyy&quot;年&quot;m&quot;月&quot;d&quot;日&quot;;@"/>
    <numFmt numFmtId="199" formatCode="m&quot;月&quot;d&quot;日&quot;;@"/>
    <numFmt numFmtId="200" formatCode="_(* #,##0.00_);_(* \(#,##0.00\);_(* \-??_);_(@_)"/>
    <numFmt numFmtId="201" formatCode="&quot;Sim&quot;;&quot;Sim&quot;;&quot;Não&quot;"/>
    <numFmt numFmtId="202" formatCode="&quot;Verdadeiro&quot;;&quot;Verdadeiro&quot;;&quot;Falso&quot;"/>
    <numFmt numFmtId="203" formatCode="&quot;Ativado&quot;;&quot;Ativado&quot;;&quot;Desativado&quot;"/>
    <numFmt numFmtId="204" formatCode="[$€-2]\ #,##0.00_);[Red]\([$€-2]\ #,##0.00\)"/>
    <numFmt numFmtId="205" formatCode="#,##0.0000_ ;\-#,##0.0000\ "/>
  </numFmts>
  <fonts count="12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sz val="8"/>
      <name val="Arial Narrow"/>
      <family val="2"/>
    </font>
    <font>
      <sz val="14"/>
      <name val="Arial Narrow"/>
      <family val="2"/>
    </font>
    <font>
      <sz val="10"/>
      <color indexed="10"/>
      <name val="Arial Narrow"/>
      <family val="2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 Narrow"/>
      <family val="2"/>
    </font>
    <font>
      <b/>
      <sz val="10"/>
      <color indexed="9"/>
      <name val="Arial"/>
      <family val="2"/>
    </font>
    <font>
      <sz val="16"/>
      <color indexed="17"/>
      <name val="Arial Narrow"/>
      <family val="2"/>
    </font>
    <font>
      <b/>
      <sz val="18"/>
      <color indexed="17"/>
      <name val="Arial Narrow"/>
      <family val="2"/>
    </font>
    <font>
      <b/>
      <sz val="10"/>
      <color indexed="17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0"/>
      <color indexed="9"/>
      <name val="Arial Narrow"/>
      <family val="2"/>
    </font>
    <font>
      <sz val="12"/>
      <color indexed="8"/>
      <name val="Arial Narrow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b/>
      <sz val="12"/>
      <color indexed="9"/>
      <name val="Arial Narrow"/>
      <family val="2"/>
    </font>
    <font>
      <sz val="12"/>
      <color indexed="10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sz val="12"/>
      <color indexed="9"/>
      <name val="Arial Narrow"/>
      <family val="2"/>
    </font>
    <font>
      <sz val="14"/>
      <color indexed="9"/>
      <name val="Arial Narrow"/>
      <family val="2"/>
    </font>
    <font>
      <b/>
      <sz val="14"/>
      <color indexed="9"/>
      <name val="Arial Narrow"/>
      <family val="2"/>
    </font>
    <font>
      <sz val="10"/>
      <color indexed="17"/>
      <name val="Arial Narrow"/>
      <family val="2"/>
    </font>
    <font>
      <sz val="10"/>
      <color indexed="9"/>
      <name val="Arial Narrow"/>
      <family val="2"/>
    </font>
    <font>
      <sz val="10"/>
      <color indexed="17"/>
      <name val="Arial"/>
      <family val="2"/>
    </font>
    <font>
      <b/>
      <sz val="12"/>
      <color indexed="17"/>
      <name val="Arial Narrow"/>
      <family val="2"/>
    </font>
    <font>
      <b/>
      <sz val="16"/>
      <color indexed="9"/>
      <name val="Arial Narrow"/>
      <family val="2"/>
    </font>
    <font>
      <sz val="20"/>
      <color indexed="17"/>
      <name val="Arial Narrow"/>
      <family val="2"/>
    </font>
    <font>
      <b/>
      <sz val="14"/>
      <color indexed="17"/>
      <name val="Arial Narrow"/>
      <family val="2"/>
    </font>
    <font>
      <sz val="15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642D"/>
      <name val="Arial"/>
      <family val="2"/>
    </font>
    <font>
      <b/>
      <sz val="12"/>
      <color rgb="FF00642D"/>
      <name val="Arial"/>
      <family val="2"/>
    </font>
    <font>
      <sz val="12"/>
      <color rgb="FF00642D"/>
      <name val="Arial Narrow"/>
      <family val="2"/>
    </font>
    <font>
      <b/>
      <sz val="10"/>
      <color theme="0"/>
      <name val="Arial"/>
      <family val="2"/>
    </font>
    <font>
      <sz val="12"/>
      <color theme="6" tint="-0.4999699890613556"/>
      <name val="Arial Narrow"/>
      <family val="2"/>
    </font>
    <font>
      <sz val="16"/>
      <color theme="6" tint="-0.4999699890613556"/>
      <name val="Arial Narrow"/>
      <family val="2"/>
    </font>
    <font>
      <b/>
      <sz val="18"/>
      <color rgb="FF00642D"/>
      <name val="Arial Narrow"/>
      <family val="2"/>
    </font>
    <font>
      <b/>
      <sz val="10"/>
      <color rgb="FF00642D"/>
      <name val="Arial Narrow"/>
      <family val="2"/>
    </font>
    <font>
      <sz val="10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rgb="FFFFFFFF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2"/>
      <color theme="0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2"/>
      <color theme="1"/>
      <name val="Arial Narrow"/>
      <family val="2"/>
    </font>
    <font>
      <sz val="12"/>
      <color theme="0"/>
      <name val="Arial Narrow"/>
      <family val="2"/>
    </font>
    <font>
      <sz val="14"/>
      <color theme="0"/>
      <name val="Arial Narrow"/>
      <family val="2"/>
    </font>
    <font>
      <b/>
      <sz val="14"/>
      <color theme="0"/>
      <name val="Arial Narrow"/>
      <family val="2"/>
    </font>
    <font>
      <sz val="10"/>
      <color theme="6" tint="-0.4999699890613556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color theme="6" tint="-0.4999699890613556"/>
      <name val="Arial"/>
      <family val="2"/>
    </font>
    <font>
      <sz val="16"/>
      <color rgb="FF00642D"/>
      <name val="Arial Narrow"/>
      <family val="2"/>
    </font>
    <font>
      <b/>
      <sz val="12"/>
      <color rgb="FF00642D"/>
      <name val="Arial Narrow"/>
      <family val="2"/>
    </font>
    <font>
      <sz val="20"/>
      <color theme="6" tint="-0.4999699890613556"/>
      <name val="Arial Narrow"/>
      <family val="2"/>
    </font>
    <font>
      <b/>
      <sz val="16"/>
      <color theme="0"/>
      <name val="Arial Narrow"/>
      <family val="2"/>
    </font>
    <font>
      <b/>
      <sz val="14"/>
      <color theme="6" tint="-0.4999699890613556"/>
      <name val="Arial Narrow"/>
      <family val="2"/>
    </font>
    <font>
      <sz val="15"/>
      <color theme="6" tint="-0.4999699890613556"/>
      <name val="Arial Narrow"/>
      <family val="2"/>
    </font>
    <font>
      <b/>
      <sz val="12"/>
      <color theme="6" tint="-0.4999699890613556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4" fillId="29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9" fillId="21" borderId="5" applyNumberFormat="0" applyAlignment="0" applyProtection="0"/>
    <xf numFmtId="41" fontId="0" fillId="0" borderId="0" applyFont="0" applyFill="0" applyBorder="0" applyAlignment="0" applyProtection="0"/>
    <xf numFmtId="177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0" fontId="1" fillId="0" borderId="0" applyFill="0" applyBorder="0" applyAlignment="0" applyProtection="0"/>
  </cellStyleXfs>
  <cellXfs count="544">
    <xf numFmtId="0" fontId="0" fillId="0" borderId="0" xfId="0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4" fillId="0" borderId="0" xfId="0" applyFont="1" applyAlignment="1">
      <alignment vertical="center" wrapText="1"/>
    </xf>
    <xf numFmtId="0" fontId="87" fillId="0" borderId="0" xfId="0" applyFont="1" applyBorder="1" applyAlignment="1">
      <alignment vertical="center" wrapText="1"/>
    </xf>
    <xf numFmtId="0" fontId="87" fillId="0" borderId="0" xfId="0" applyFont="1" applyAlignment="1">
      <alignment vertical="center" wrapText="1"/>
    </xf>
    <xf numFmtId="0" fontId="88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4" fontId="3" fillId="0" borderId="0" xfId="0" applyNumberFormat="1" applyFont="1" applyBorder="1" applyAlignment="1">
      <alignment horizontal="right" vertical="center"/>
    </xf>
    <xf numFmtId="10" fontId="3" fillId="0" borderId="0" xfId="54" applyNumberFormat="1" applyFont="1" applyBorder="1" applyAlignment="1">
      <alignment horizontal="right" vertical="center"/>
    </xf>
    <xf numFmtId="190" fontId="3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81" fontId="3" fillId="0" borderId="11" xfId="0" applyNumberFormat="1" applyFont="1" applyBorder="1" applyAlignment="1">
      <alignment horizontal="center" vertical="center"/>
    </xf>
    <xf numFmtId="44" fontId="3" fillId="0" borderId="11" xfId="47" applyFont="1" applyBorder="1" applyAlignment="1">
      <alignment horizontal="right" vertical="center"/>
    </xf>
    <xf numFmtId="181" fontId="0" fillId="0" borderId="11" xfId="0" applyNumberFormat="1" applyFont="1" applyBorder="1" applyAlignment="1">
      <alignment horizontal="center" vertical="center"/>
    </xf>
    <xf numFmtId="44" fontId="0" fillId="0" borderId="11" xfId="47" applyFont="1" applyBorder="1" applyAlignment="1">
      <alignment horizontal="right" vertical="center"/>
    </xf>
    <xf numFmtId="0" fontId="3" fillId="33" borderId="11" xfId="0" applyFont="1" applyFill="1" applyBorder="1" applyAlignment="1">
      <alignment horizontal="left" vertical="center"/>
    </xf>
    <xf numFmtId="181" fontId="3" fillId="33" borderId="11" xfId="0" applyNumberFormat="1" applyFont="1" applyFill="1" applyBorder="1" applyAlignment="1">
      <alignment horizontal="center" vertical="center"/>
    </xf>
    <xf numFmtId="44" fontId="3" fillId="33" borderId="11" xfId="47" applyFont="1" applyFill="1" applyBorder="1" applyAlignment="1">
      <alignment horizontal="right" vertical="center"/>
    </xf>
    <xf numFmtId="4" fontId="3" fillId="33" borderId="12" xfId="54" applyNumberFormat="1" applyFont="1" applyFill="1" applyBorder="1" applyAlignment="1">
      <alignment horizontal="center" vertical="center" wrapText="1"/>
    </xf>
    <xf numFmtId="181" fontId="3" fillId="33" borderId="13" xfId="0" applyNumberFormat="1" applyFont="1" applyFill="1" applyBorder="1" applyAlignment="1">
      <alignment horizontal="center" vertical="center"/>
    </xf>
    <xf numFmtId="181" fontId="3" fillId="0" borderId="13" xfId="0" applyNumberFormat="1" applyFont="1" applyBorder="1" applyAlignment="1">
      <alignment horizontal="center" vertical="center"/>
    </xf>
    <xf numFmtId="4" fontId="3" fillId="0" borderId="12" xfId="54" applyNumberFormat="1" applyFont="1" applyFill="1" applyBorder="1" applyAlignment="1">
      <alignment horizontal="center" vertical="center" wrapText="1"/>
    </xf>
    <xf numFmtId="181" fontId="0" fillId="0" borderId="13" xfId="0" applyNumberFormat="1" applyFont="1" applyBorder="1" applyAlignment="1">
      <alignment horizontal="center" vertical="center"/>
    </xf>
    <xf numFmtId="181" fontId="0" fillId="0" borderId="14" xfId="0" applyNumberFormat="1" applyFont="1" applyBorder="1" applyAlignment="1">
      <alignment horizontal="center" vertical="center"/>
    </xf>
    <xf numFmtId="181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44" fontId="0" fillId="0" borderId="15" xfId="47" applyFont="1" applyBorder="1" applyAlignment="1">
      <alignment horizontal="right" vertical="center"/>
    </xf>
    <xf numFmtId="4" fontId="3" fillId="0" borderId="16" xfId="54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3" fillId="0" borderId="19" xfId="67" applyNumberFormat="1" applyFont="1" applyBorder="1" applyAlignment="1">
      <alignment horizontal="center" vertical="center" wrapText="1"/>
    </xf>
    <xf numFmtId="4" fontId="3" fillId="0" borderId="17" xfId="67" applyNumberFormat="1" applyFont="1" applyBorder="1" applyAlignment="1">
      <alignment horizontal="center" vertical="center" wrapText="1"/>
    </xf>
    <xf numFmtId="44" fontId="5" fillId="0" borderId="0" xfId="0" applyNumberFormat="1" applyFont="1" applyAlignment="1">
      <alignment vertical="center" wrapText="1"/>
    </xf>
    <xf numFmtId="10" fontId="3" fillId="0" borderId="0" xfId="0" applyNumberFormat="1" applyFont="1" applyBorder="1" applyAlignment="1">
      <alignment horizontal="right" vertical="center"/>
    </xf>
    <xf numFmtId="0" fontId="89" fillId="0" borderId="0" xfId="0" applyFont="1" applyBorder="1" applyAlignment="1">
      <alignment vertical="center" wrapText="1"/>
    </xf>
    <xf numFmtId="44" fontId="89" fillId="0" borderId="0" xfId="47" applyFont="1" applyAlignment="1">
      <alignment vertical="center" wrapText="1"/>
    </xf>
    <xf numFmtId="0" fontId="89" fillId="0" borderId="0" xfId="0" applyFont="1" applyAlignment="1">
      <alignment vertical="center" wrapText="1"/>
    </xf>
    <xf numFmtId="44" fontId="90" fillId="34" borderId="20" xfId="47" applyFont="1" applyFill="1" applyBorder="1" applyAlignment="1">
      <alignment horizontal="right" vertical="center" wrapText="1"/>
    </xf>
    <xf numFmtId="4" fontId="90" fillId="34" borderId="21" xfId="54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44" fontId="91" fillId="0" borderId="0" xfId="47" applyFont="1" applyAlignment="1">
      <alignment vertical="center"/>
    </xf>
    <xf numFmtId="0" fontId="92" fillId="0" borderId="0" xfId="0" applyFont="1" applyAlignment="1">
      <alignment vertical="center" wrapText="1"/>
    </xf>
    <xf numFmtId="44" fontId="92" fillId="0" borderId="0" xfId="47" applyFont="1" applyAlignment="1">
      <alignment vertical="center" wrapText="1"/>
    </xf>
    <xf numFmtId="0" fontId="9" fillId="35" borderId="11" xfId="0" applyFont="1" applyFill="1" applyBorder="1" applyAlignment="1">
      <alignment horizontal="left" vertical="center" wrapText="1"/>
    </xf>
    <xf numFmtId="0" fontId="9" fillId="35" borderId="11" xfId="0" applyFont="1" applyFill="1" applyBorder="1" applyAlignment="1">
      <alignment horizontal="center" vertical="center" wrapText="1"/>
    </xf>
    <xf numFmtId="177" fontId="10" fillId="35" borderId="11" xfId="67" applyFont="1" applyFill="1" applyBorder="1" applyAlignment="1">
      <alignment horizontal="center" vertical="center" wrapText="1"/>
    </xf>
    <xf numFmtId="0" fontId="93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94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36" borderId="18" xfId="0" applyFont="1" applyFill="1" applyBorder="1" applyAlignment="1">
      <alignment vertical="center" wrapText="1"/>
    </xf>
    <xf numFmtId="0" fontId="10" fillId="36" borderId="0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95" fillId="0" borderId="0" xfId="0" applyFont="1" applyAlignment="1">
      <alignment/>
    </xf>
    <xf numFmtId="0" fontId="1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 horizontal="center"/>
    </xf>
    <xf numFmtId="0" fontId="95" fillId="35" borderId="0" xfId="0" applyFont="1" applyFill="1" applyAlignment="1">
      <alignment/>
    </xf>
    <xf numFmtId="0" fontId="10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0" fontId="95" fillId="35" borderId="0" xfId="0" applyFont="1" applyFill="1" applyBorder="1" applyAlignment="1">
      <alignment/>
    </xf>
    <xf numFmtId="0" fontId="10" fillId="35" borderId="11" xfId="0" applyFont="1" applyFill="1" applyBorder="1" applyAlignment="1">
      <alignment vertical="center"/>
    </xf>
    <xf numFmtId="0" fontId="10" fillId="35" borderId="11" xfId="0" applyFont="1" applyFill="1" applyBorder="1" applyAlignment="1">
      <alignment horizontal="center" vertical="center" wrapText="1"/>
    </xf>
    <xf numFmtId="184" fontId="10" fillId="35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5" borderId="0" xfId="0" applyFont="1" applyFill="1" applyBorder="1" applyAlignment="1">
      <alignment vertical="center"/>
    </xf>
    <xf numFmtId="0" fontId="9" fillId="35" borderId="0" xfId="0" applyFont="1" applyFill="1" applyBorder="1" applyAlignment="1">
      <alignment vertical="center" wrapText="1"/>
    </xf>
    <xf numFmtId="0" fontId="9" fillId="35" borderId="11" xfId="0" applyFont="1" applyFill="1" applyBorder="1" applyAlignment="1" quotePrefix="1">
      <alignment horizontal="left" vertical="center" wrapText="1"/>
    </xf>
    <xf numFmtId="0" fontId="95" fillId="35" borderId="0" xfId="0" applyFont="1" applyFill="1" applyBorder="1" applyAlignment="1">
      <alignment vertical="center" wrapText="1"/>
    </xf>
    <xf numFmtId="0" fontId="96" fillId="35" borderId="11" xfId="0" applyFont="1" applyFill="1" applyBorder="1" applyAlignment="1">
      <alignment vertical="center"/>
    </xf>
    <xf numFmtId="0" fontId="97" fillId="35" borderId="11" xfId="0" applyFont="1" applyFill="1" applyBorder="1" applyAlignment="1">
      <alignment horizontal="left" vertical="center" wrapText="1"/>
    </xf>
    <xf numFmtId="0" fontId="96" fillId="35" borderId="11" xfId="0" applyFont="1" applyFill="1" applyBorder="1" applyAlignment="1">
      <alignment horizontal="center" vertical="center" wrapText="1"/>
    </xf>
    <xf numFmtId="184" fontId="96" fillId="35" borderId="11" xfId="0" applyNumberFormat="1" applyFont="1" applyFill="1" applyBorder="1" applyAlignment="1">
      <alignment horizontal="center" vertical="center" wrapText="1"/>
    </xf>
    <xf numFmtId="0" fontId="97" fillId="0" borderId="0" xfId="0" applyFont="1" applyAlignment="1">
      <alignment vertical="center"/>
    </xf>
    <xf numFmtId="0" fontId="97" fillId="35" borderId="11" xfId="0" applyFont="1" applyFill="1" applyBorder="1" applyAlignment="1">
      <alignment horizontal="center" vertical="center" wrapText="1"/>
    </xf>
    <xf numFmtId="177" fontId="96" fillId="35" borderId="11" xfId="67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center" vertical="center" wrapText="1"/>
    </xf>
    <xf numFmtId="177" fontId="98" fillId="35" borderId="0" xfId="67" applyFont="1" applyFill="1" applyBorder="1" applyAlignment="1">
      <alignment horizontal="center" vertical="center" wrapText="1"/>
    </xf>
    <xf numFmtId="0" fontId="95" fillId="35" borderId="11" xfId="0" applyFont="1" applyFill="1" applyBorder="1" applyAlignment="1" quotePrefix="1">
      <alignment horizontal="left" vertical="center" wrapText="1"/>
    </xf>
    <xf numFmtId="0" fontId="10" fillId="35" borderId="0" xfId="0" applyFont="1" applyFill="1" applyAlignment="1">
      <alignment horizontal="left"/>
    </xf>
    <xf numFmtId="0" fontId="98" fillId="35" borderId="0" xfId="0" applyFont="1" applyFill="1" applyAlignment="1">
      <alignment horizontal="left"/>
    </xf>
    <xf numFmtId="0" fontId="9" fillId="0" borderId="11" xfId="0" applyFont="1" applyBorder="1" applyAlignment="1" quotePrefix="1">
      <alignment wrapText="1"/>
    </xf>
    <xf numFmtId="0" fontId="9" fillId="0" borderId="11" xfId="0" applyFont="1" applyBorder="1" applyAlignment="1" quotePrefix="1">
      <alignment/>
    </xf>
    <xf numFmtId="4" fontId="9" fillId="0" borderId="11" xfId="0" applyNumberFormat="1" applyFont="1" applyFill="1" applyBorder="1" applyAlignment="1" quotePrefix="1">
      <alignment horizontal="left" vertical="center" wrapText="1"/>
    </xf>
    <xf numFmtId="4" fontId="95" fillId="0" borderId="11" xfId="0" applyNumberFormat="1" applyFont="1" applyFill="1" applyBorder="1" applyAlignment="1" quotePrefix="1">
      <alignment horizontal="left" vertical="center" wrapText="1"/>
    </xf>
    <xf numFmtId="0" fontId="9" fillId="35" borderId="11" xfId="0" applyFont="1" applyFill="1" applyBorder="1" applyAlignment="1">
      <alignment vertical="center" wrapText="1"/>
    </xf>
    <xf numFmtId="177" fontId="9" fillId="35" borderId="11" xfId="57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99" fillId="34" borderId="22" xfId="0" applyFont="1" applyFill="1" applyBorder="1" applyAlignment="1">
      <alignment horizontal="center" vertical="center" wrapText="1"/>
    </xf>
    <xf numFmtId="0" fontId="100" fillId="0" borderId="23" xfId="0" applyFont="1" applyBorder="1" applyAlignment="1">
      <alignment horizontal="center" vertical="center"/>
    </xf>
    <xf numFmtId="0" fontId="100" fillId="0" borderId="22" xfId="0" applyFont="1" applyBorder="1" applyAlignment="1">
      <alignment vertical="center" wrapText="1"/>
    </xf>
    <xf numFmtId="10" fontId="100" fillId="0" borderId="22" xfId="0" applyNumberFormat="1" applyFont="1" applyBorder="1" applyAlignment="1">
      <alignment horizontal="center" vertical="center"/>
    </xf>
    <xf numFmtId="0" fontId="101" fillId="0" borderId="23" xfId="0" applyFont="1" applyBorder="1" applyAlignment="1">
      <alignment horizontal="center" vertical="center"/>
    </xf>
    <xf numFmtId="0" fontId="101" fillId="0" borderId="22" xfId="0" applyFont="1" applyBorder="1" applyAlignment="1">
      <alignment horizontal="center" vertical="center" wrapText="1"/>
    </xf>
    <xf numFmtId="10" fontId="101" fillId="0" borderId="22" xfId="0" applyNumberFormat="1" applyFont="1" applyBorder="1" applyAlignment="1">
      <alignment horizontal="center" vertical="center"/>
    </xf>
    <xf numFmtId="0" fontId="100" fillId="0" borderId="22" xfId="0" applyFont="1" applyBorder="1" applyAlignment="1">
      <alignment horizontal="center" vertical="center"/>
    </xf>
    <xf numFmtId="10" fontId="99" fillId="34" borderId="2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10" fontId="9" fillId="0" borderId="0" xfId="0" applyNumberFormat="1" applyFont="1" applyFill="1" applyBorder="1" applyAlignment="1">
      <alignment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17" fontId="15" fillId="0" borderId="2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10" fontId="9" fillId="0" borderId="31" xfId="54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0" fontId="9" fillId="0" borderId="12" xfId="54" applyNumberFormat="1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10" fontId="9" fillId="0" borderId="34" xfId="54" applyNumberFormat="1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10" fillId="0" borderId="36" xfId="0" applyFont="1" applyBorder="1" applyAlignment="1">
      <alignment horizontal="right" vertical="center"/>
    </xf>
    <xf numFmtId="10" fontId="10" fillId="0" borderId="21" xfId="54" applyNumberFormat="1" applyFont="1" applyBorder="1" applyAlignment="1">
      <alignment vertical="center"/>
    </xf>
    <xf numFmtId="10" fontId="9" fillId="0" borderId="11" xfId="0" applyNumberFormat="1" applyFont="1" applyBorder="1" applyAlignment="1">
      <alignment horizontal="left" vertical="center"/>
    </xf>
    <xf numFmtId="10" fontId="9" fillId="0" borderId="12" xfId="54" applyNumberFormat="1" applyFont="1" applyBorder="1" applyAlignment="1">
      <alignment horizontal="right" vertical="center"/>
    </xf>
    <xf numFmtId="10" fontId="9" fillId="0" borderId="0" xfId="0" applyNumberFormat="1" applyFont="1" applyAlignment="1">
      <alignment vertical="center"/>
    </xf>
    <xf numFmtId="0" fontId="10" fillId="0" borderId="18" xfId="0" applyFont="1" applyBorder="1" applyAlignment="1">
      <alignment horizontal="right" vertical="center"/>
    </xf>
    <xf numFmtId="10" fontId="10" fillId="0" borderId="19" xfId="54" applyNumberFormat="1" applyFont="1" applyBorder="1" applyAlignment="1">
      <alignment vertical="center"/>
    </xf>
    <xf numFmtId="10" fontId="10" fillId="0" borderId="37" xfId="54" applyNumberFormat="1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horizontal="right" vertical="center"/>
    </xf>
    <xf numFmtId="10" fontId="10" fillId="0" borderId="16" xfId="54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81" fontId="102" fillId="35" borderId="13" xfId="0" applyNumberFormat="1" applyFont="1" applyFill="1" applyBorder="1" applyAlignment="1">
      <alignment horizontal="center" vertical="center"/>
    </xf>
    <xf numFmtId="0" fontId="102" fillId="35" borderId="11" xfId="0" applyFont="1" applyFill="1" applyBorder="1" applyAlignment="1" quotePrefix="1">
      <alignment horizontal="center" vertical="center"/>
    </xf>
    <xf numFmtId="0" fontId="102" fillId="35" borderId="11" xfId="0" applyFont="1" applyFill="1" applyBorder="1" applyAlignment="1">
      <alignment vertical="center" wrapText="1"/>
    </xf>
    <xf numFmtId="0" fontId="102" fillId="35" borderId="11" xfId="0" applyFont="1" applyFill="1" applyBorder="1" applyAlignment="1">
      <alignment horizontal="center" vertical="center" wrapText="1"/>
    </xf>
    <xf numFmtId="44" fontId="13" fillId="35" borderId="11" xfId="47" applyFont="1" applyFill="1" applyBorder="1" applyAlignment="1">
      <alignment horizontal="right" vertical="center"/>
    </xf>
    <xf numFmtId="4" fontId="102" fillId="35" borderId="11" xfId="0" applyNumberFormat="1" applyFont="1" applyFill="1" applyBorder="1" applyAlignment="1">
      <alignment horizontal="center" vertical="center" wrapText="1"/>
    </xf>
    <xf numFmtId="4" fontId="102" fillId="37" borderId="11" xfId="0" applyNumberFormat="1" applyFont="1" applyFill="1" applyBorder="1" applyAlignment="1">
      <alignment horizontal="right" vertical="center"/>
    </xf>
    <xf numFmtId="44" fontId="102" fillId="35" borderId="11" xfId="47" applyFont="1" applyFill="1" applyBorder="1" applyAlignment="1">
      <alignment horizontal="right" vertical="center"/>
    </xf>
    <xf numFmtId="44" fontId="102" fillId="35" borderId="12" xfId="47" applyFont="1" applyFill="1" applyBorder="1" applyAlignment="1">
      <alignment horizontal="right" vertical="center"/>
    </xf>
    <xf numFmtId="0" fontId="102" fillId="0" borderId="0" xfId="0" applyFont="1" applyAlignment="1">
      <alignment vertical="center"/>
    </xf>
    <xf numFmtId="44" fontId="102" fillId="0" borderId="0" xfId="47" applyFont="1" applyAlignment="1">
      <alignment vertical="center"/>
    </xf>
    <xf numFmtId="44" fontId="13" fillId="0" borderId="0" xfId="0" applyNumberFormat="1" applyFont="1" applyAlignment="1">
      <alignment vertical="center"/>
    </xf>
    <xf numFmtId="44" fontId="15" fillId="0" borderId="0" xfId="47" applyFont="1" applyBorder="1" applyAlignment="1">
      <alignment horizontal="right" vertical="center" wrapText="1"/>
    </xf>
    <xf numFmtId="10" fontId="15" fillId="0" borderId="0" xfId="54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44" fontId="13" fillId="0" borderId="0" xfId="47" applyFont="1" applyAlignment="1">
      <alignment vertical="center" wrapText="1"/>
    </xf>
    <xf numFmtId="44" fontId="15" fillId="0" borderId="0" xfId="47" applyFont="1" applyBorder="1" applyAlignment="1">
      <alignment horizontal="right" vertical="center"/>
    </xf>
    <xf numFmtId="14" fontId="15" fillId="0" borderId="0" xfId="47" applyNumberFormat="1" applyFont="1" applyBorder="1" applyAlignment="1">
      <alignment horizontal="center" vertical="center"/>
    </xf>
    <xf numFmtId="0" fontId="103" fillId="0" borderId="0" xfId="0" applyFont="1" applyFill="1" applyBorder="1" applyAlignment="1">
      <alignment vertical="center" wrapText="1"/>
    </xf>
    <xf numFmtId="44" fontId="103" fillId="0" borderId="0" xfId="47" applyFont="1" applyFill="1" applyBorder="1" applyAlignment="1">
      <alignment horizontal="right" vertical="center" wrapText="1"/>
    </xf>
    <xf numFmtId="4" fontId="104" fillId="0" borderId="0" xfId="67" applyNumberFormat="1" applyFont="1" applyFill="1" applyBorder="1" applyAlignment="1">
      <alignment horizontal="right" vertical="center"/>
    </xf>
    <xf numFmtId="44" fontId="104" fillId="0" borderId="0" xfId="47" applyFont="1" applyBorder="1" applyAlignment="1">
      <alignment horizontal="right" vertical="center" wrapText="1"/>
    </xf>
    <xf numFmtId="44" fontId="103" fillId="0" borderId="0" xfId="47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4" fontId="13" fillId="0" borderId="0" xfId="47" applyFont="1" applyBorder="1" applyAlignment="1">
      <alignment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44" fontId="12" fillId="35" borderId="20" xfId="47" applyFont="1" applyFill="1" applyBorder="1" applyAlignment="1">
      <alignment horizontal="center" vertical="center" wrapText="1"/>
    </xf>
    <xf numFmtId="4" fontId="12" fillId="37" borderId="20" xfId="0" applyNumberFormat="1" applyFont="1" applyFill="1" applyBorder="1" applyAlignment="1">
      <alignment horizontal="center" vertical="center" wrapText="1"/>
    </xf>
    <xf numFmtId="44" fontId="12" fillId="0" borderId="20" xfId="47" applyFont="1" applyBorder="1" applyAlignment="1">
      <alignment horizontal="center" vertical="center" wrapText="1"/>
    </xf>
    <xf numFmtId="44" fontId="12" fillId="0" borderId="21" xfId="47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4" fontId="13" fillId="0" borderId="0" xfId="47" applyFont="1" applyAlignment="1">
      <alignment vertical="center"/>
    </xf>
    <xf numFmtId="49" fontId="105" fillId="34" borderId="35" xfId="0" applyNumberFormat="1" applyFont="1" applyFill="1" applyBorder="1" applyAlignment="1" quotePrefix="1">
      <alignment horizontal="center" vertical="center" wrapText="1"/>
    </xf>
    <xf numFmtId="0" fontId="13" fillId="35" borderId="13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justify" vertical="center" wrapText="1"/>
    </xf>
    <xf numFmtId="44" fontId="13" fillId="35" borderId="11" xfId="47" applyFont="1" applyFill="1" applyBorder="1" applyAlignment="1">
      <alignment horizontal="right" vertical="center" wrapText="1"/>
    </xf>
    <xf numFmtId="4" fontId="13" fillId="35" borderId="11" xfId="0" applyNumberFormat="1" applyFont="1" applyFill="1" applyBorder="1" applyAlignment="1">
      <alignment horizontal="center" vertical="center" wrapText="1"/>
    </xf>
    <xf numFmtId="4" fontId="13" fillId="37" borderId="11" xfId="0" applyNumberFormat="1" applyFont="1" applyFill="1" applyBorder="1" applyAlignment="1">
      <alignment horizontal="right" vertical="center"/>
    </xf>
    <xf numFmtId="44" fontId="13" fillId="35" borderId="12" xfId="47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35" borderId="13" xfId="0" applyFont="1" applyFill="1" applyBorder="1" applyAlignment="1" quotePrefix="1">
      <alignment horizontal="center" vertical="center"/>
    </xf>
    <xf numFmtId="0" fontId="13" fillId="35" borderId="11" xfId="0" applyFont="1" applyFill="1" applyBorder="1" applyAlignment="1" quotePrefix="1">
      <alignment horizontal="center" vertical="center"/>
    </xf>
    <xf numFmtId="0" fontId="13" fillId="35" borderId="11" xfId="0" applyFont="1" applyFill="1" applyBorder="1" applyAlignment="1" quotePrefix="1">
      <alignment horizontal="justify" vertical="center" wrapText="1"/>
    </xf>
    <xf numFmtId="44" fontId="106" fillId="35" borderId="11" xfId="47" applyFont="1" applyFill="1" applyBorder="1" applyAlignment="1">
      <alignment horizontal="right" vertical="center"/>
    </xf>
    <xf numFmtId="0" fontId="13" fillId="35" borderId="11" xfId="0" applyFont="1" applyFill="1" applyBorder="1" applyAlignment="1">
      <alignment vertical="center"/>
    </xf>
    <xf numFmtId="44" fontId="12" fillId="35" borderId="11" xfId="47" applyFont="1" applyFill="1" applyBorder="1" applyAlignment="1">
      <alignment horizontal="center" vertical="center"/>
    </xf>
    <xf numFmtId="44" fontId="12" fillId="35" borderId="12" xfId="47" applyFont="1" applyFill="1" applyBorder="1" applyAlignment="1">
      <alignment horizontal="right" vertical="center"/>
    </xf>
    <xf numFmtId="181" fontId="12" fillId="35" borderId="13" xfId="0" applyNumberFormat="1" applyFont="1" applyFill="1" applyBorder="1" applyAlignment="1" quotePrefix="1">
      <alignment horizontal="center" vertical="center"/>
    </xf>
    <xf numFmtId="181" fontId="12" fillId="35" borderId="11" xfId="0" applyNumberFormat="1" applyFont="1" applyFill="1" applyBorder="1" applyAlignment="1" quotePrefix="1">
      <alignment horizontal="center" vertical="center"/>
    </xf>
    <xf numFmtId="0" fontId="12" fillId="35" borderId="11" xfId="0" applyFont="1" applyFill="1" applyBorder="1" applyAlignment="1">
      <alignment horizontal="left" vertical="center" wrapText="1"/>
    </xf>
    <xf numFmtId="0" fontId="107" fillId="35" borderId="11" xfId="0" applyFont="1" applyFill="1" applyBorder="1" applyAlignment="1">
      <alignment horizontal="center" vertical="center" wrapText="1"/>
    </xf>
    <xf numFmtId="44" fontId="107" fillId="35" borderId="11" xfId="47" applyFont="1" applyFill="1" applyBorder="1" applyAlignment="1">
      <alignment horizontal="right" vertical="center"/>
    </xf>
    <xf numFmtId="4" fontId="107" fillId="35" borderId="11" xfId="0" applyNumberFormat="1" applyFont="1" applyFill="1" applyBorder="1" applyAlignment="1">
      <alignment horizontal="center" vertical="center"/>
    </xf>
    <xf numFmtId="4" fontId="106" fillId="37" borderId="11" xfId="0" applyNumberFormat="1" applyFont="1" applyFill="1" applyBorder="1" applyAlignment="1">
      <alignment horizontal="right" vertical="center"/>
    </xf>
    <xf numFmtId="44" fontId="106" fillId="35" borderId="12" xfId="47" applyFont="1" applyFill="1" applyBorder="1" applyAlignment="1">
      <alignment horizontal="right" vertical="center"/>
    </xf>
    <xf numFmtId="0" fontId="13" fillId="38" borderId="0" xfId="0" applyFont="1" applyFill="1" applyAlignment="1">
      <alignment vertical="center"/>
    </xf>
    <xf numFmtId="44" fontId="13" fillId="38" borderId="0" xfId="47" applyFont="1" applyFill="1" applyAlignment="1">
      <alignment vertical="center"/>
    </xf>
    <xf numFmtId="0" fontId="13" fillId="35" borderId="11" xfId="0" applyFont="1" applyFill="1" applyBorder="1" applyAlignment="1">
      <alignment horizontal="center" vertical="center" wrapText="1"/>
    </xf>
    <xf numFmtId="0" fontId="102" fillId="35" borderId="11" xfId="0" applyFont="1" applyFill="1" applyBorder="1" applyAlignment="1">
      <alignment horizontal="justify" vertical="center" wrapText="1"/>
    </xf>
    <xf numFmtId="0" fontId="102" fillId="35" borderId="11" xfId="0" applyFont="1" applyFill="1" applyBorder="1" applyAlignment="1" quotePrefix="1">
      <alignment horizontal="justify" vertical="center" wrapText="1"/>
    </xf>
    <xf numFmtId="0" fontId="102" fillId="35" borderId="11" xfId="0" applyFont="1" applyFill="1" applyBorder="1" applyAlignment="1">
      <alignment vertical="center"/>
    </xf>
    <xf numFmtId="44" fontId="108" fillId="35" borderId="11" xfId="47" applyFont="1" applyFill="1" applyBorder="1" applyAlignment="1">
      <alignment horizontal="center" vertical="center"/>
    </xf>
    <xf numFmtId="44" fontId="108" fillId="35" borderId="12" xfId="47" applyFont="1" applyFill="1" applyBorder="1" applyAlignment="1">
      <alignment horizontal="right" vertical="center"/>
    </xf>
    <xf numFmtId="0" fontId="12" fillId="35" borderId="11" xfId="0" applyFont="1" applyFill="1" applyBorder="1" applyAlignment="1">
      <alignment horizontal="justify" vertical="center" wrapText="1"/>
    </xf>
    <xf numFmtId="44" fontId="106" fillId="35" borderId="11" xfId="47" applyFont="1" applyFill="1" applyBorder="1" applyAlignment="1">
      <alignment horizontal="right" vertical="center" wrapText="1"/>
    </xf>
    <xf numFmtId="4" fontId="106" fillId="35" borderId="11" xfId="0" applyNumberFormat="1" applyFont="1" applyFill="1" applyBorder="1" applyAlignment="1">
      <alignment horizontal="center" vertical="center" wrapText="1"/>
    </xf>
    <xf numFmtId="0" fontId="102" fillId="35" borderId="33" xfId="0" applyFont="1" applyFill="1" applyBorder="1" applyAlignment="1" quotePrefix="1">
      <alignment horizontal="center" vertical="center"/>
    </xf>
    <xf numFmtId="0" fontId="102" fillId="35" borderId="33" xfId="0" applyFont="1" applyFill="1" applyBorder="1" applyAlignment="1">
      <alignment horizontal="justify" vertical="center" wrapText="1"/>
    </xf>
    <xf numFmtId="44" fontId="102" fillId="0" borderId="0" xfId="0" applyNumberFormat="1" applyFont="1" applyAlignment="1">
      <alignment vertical="center"/>
    </xf>
    <xf numFmtId="0" fontId="106" fillId="35" borderId="11" xfId="0" applyFont="1" applyFill="1" applyBorder="1" applyAlignment="1" quotePrefix="1">
      <alignment horizontal="center" vertical="center"/>
    </xf>
    <xf numFmtId="0" fontId="106" fillId="35" borderId="11" xfId="0" applyFont="1" applyFill="1" applyBorder="1" applyAlignment="1">
      <alignment vertical="center"/>
    </xf>
    <xf numFmtId="0" fontId="12" fillId="35" borderId="11" xfId="0" applyFont="1" applyFill="1" applyBorder="1" applyAlignment="1" quotePrefix="1">
      <alignment horizontal="justify" vertical="center" wrapText="1"/>
    </xf>
    <xf numFmtId="181" fontId="12" fillId="35" borderId="13" xfId="0" applyNumberFormat="1" applyFont="1" applyFill="1" applyBorder="1" applyAlignment="1">
      <alignment horizontal="center" vertical="center"/>
    </xf>
    <xf numFmtId="181" fontId="13" fillId="35" borderId="13" xfId="0" applyNumberFormat="1" applyFont="1" applyFill="1" applyBorder="1" applyAlignment="1">
      <alignment horizontal="center" vertical="center"/>
    </xf>
    <xf numFmtId="0" fontId="13" fillId="35" borderId="33" xfId="0" applyFont="1" applyFill="1" applyBorder="1" applyAlignment="1" quotePrefix="1">
      <alignment horizontal="center" vertical="center"/>
    </xf>
    <xf numFmtId="0" fontId="13" fillId="35" borderId="33" xfId="0" applyFont="1" applyFill="1" applyBorder="1" applyAlignment="1">
      <alignment horizontal="justify" vertical="center" wrapText="1"/>
    </xf>
    <xf numFmtId="0" fontId="13" fillId="35" borderId="33" xfId="0" applyFont="1" applyFill="1" applyBorder="1" applyAlignment="1">
      <alignment horizontal="center" vertical="center" wrapText="1"/>
    </xf>
    <xf numFmtId="44" fontId="13" fillId="35" borderId="33" xfId="47" applyFont="1" applyFill="1" applyBorder="1" applyAlignment="1">
      <alignment horizontal="right" vertical="center"/>
    </xf>
    <xf numFmtId="0" fontId="12" fillId="35" borderId="11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vertical="center" wrapText="1"/>
    </xf>
    <xf numFmtId="181" fontId="13" fillId="35" borderId="11" xfId="0" applyNumberFormat="1" applyFont="1" applyFill="1" applyBorder="1" applyAlignment="1" quotePrefix="1">
      <alignment horizontal="center" vertical="center"/>
    </xf>
    <xf numFmtId="181" fontId="12" fillId="35" borderId="41" xfId="0" applyNumberFormat="1" applyFont="1" applyFill="1" applyBorder="1" applyAlignment="1">
      <alignment horizontal="center" vertical="center"/>
    </xf>
    <xf numFmtId="181" fontId="12" fillId="35" borderId="33" xfId="0" applyNumberFormat="1" applyFont="1" applyFill="1" applyBorder="1" applyAlignment="1" quotePrefix="1">
      <alignment horizontal="center" vertical="center"/>
    </xf>
    <xf numFmtId="0" fontId="12" fillId="35" borderId="33" xfId="0" applyFont="1" applyFill="1" applyBorder="1" applyAlignment="1">
      <alignment horizontal="justify" vertical="center" wrapText="1"/>
    </xf>
    <xf numFmtId="181" fontId="13" fillId="35" borderId="41" xfId="0" applyNumberFormat="1" applyFont="1" applyFill="1" applyBorder="1" applyAlignment="1">
      <alignment horizontal="center" vertical="center"/>
    </xf>
    <xf numFmtId="0" fontId="13" fillId="35" borderId="14" xfId="0" applyFont="1" applyFill="1" applyBorder="1" applyAlignment="1" quotePrefix="1">
      <alignment horizontal="center" vertical="center"/>
    </xf>
    <xf numFmtId="0" fontId="13" fillId="35" borderId="15" xfId="0" applyFont="1" applyFill="1" applyBorder="1" applyAlignment="1" quotePrefix="1">
      <alignment horizontal="center" vertical="center"/>
    </xf>
    <xf numFmtId="44" fontId="12" fillId="35" borderId="16" xfId="47" applyFont="1" applyFill="1" applyBorder="1" applyAlignment="1">
      <alignment horizontal="right" vertical="center"/>
    </xf>
    <xf numFmtId="0" fontId="109" fillId="34" borderId="35" xfId="0" applyFont="1" applyFill="1" applyBorder="1" applyAlignment="1">
      <alignment horizontal="center" vertical="center"/>
    </xf>
    <xf numFmtId="0" fontId="109" fillId="34" borderId="18" xfId="0" applyFont="1" applyFill="1" applyBorder="1" applyAlignment="1">
      <alignment horizontal="center" vertical="center"/>
    </xf>
    <xf numFmtId="44" fontId="105" fillId="34" borderId="17" xfId="47" applyFont="1" applyFill="1" applyBorder="1" applyAlignment="1">
      <alignment horizontal="right" vertical="center"/>
    </xf>
    <xf numFmtId="0" fontId="13" fillId="39" borderId="0" xfId="0" applyFont="1" applyFill="1" applyAlignment="1">
      <alignment vertical="center"/>
    </xf>
    <xf numFmtId="44" fontId="13" fillId="39" borderId="0" xfId="47" applyFont="1" applyFill="1" applyAlignment="1">
      <alignment vertical="center"/>
    </xf>
    <xf numFmtId="0" fontId="110" fillId="34" borderId="35" xfId="0" applyFont="1" applyFill="1" applyBorder="1" applyAlignment="1">
      <alignment horizontal="center" vertical="center"/>
    </xf>
    <xf numFmtId="0" fontId="110" fillId="34" borderId="18" xfId="0" applyFont="1" applyFill="1" applyBorder="1" applyAlignment="1">
      <alignment horizontal="center" vertical="center"/>
    </xf>
    <xf numFmtId="44" fontId="111" fillId="34" borderId="17" xfId="47" applyFont="1" applyFill="1" applyBorder="1" applyAlignment="1">
      <alignment horizontal="right" vertical="center"/>
    </xf>
    <xf numFmtId="44" fontId="18" fillId="0" borderId="0" xfId="47" applyFont="1" applyAlignment="1">
      <alignment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06" fillId="0" borderId="0" xfId="0" applyFont="1" applyAlignment="1">
      <alignment horizontal="center" vertical="center"/>
    </xf>
    <xf numFmtId="44" fontId="106" fillId="0" borderId="0" xfId="47" applyFont="1" applyFill="1" applyAlignment="1">
      <alignment horizontal="right" vertical="center"/>
    </xf>
    <xf numFmtId="0" fontId="106" fillId="0" borderId="0" xfId="0" applyFont="1" applyFill="1" applyAlignment="1">
      <alignment horizontal="center" vertical="center"/>
    </xf>
    <xf numFmtId="4" fontId="106" fillId="0" borderId="0" xfId="0" applyNumberFormat="1" applyFont="1" applyFill="1" applyAlignment="1">
      <alignment horizontal="right" vertical="center"/>
    </xf>
    <xf numFmtId="44" fontId="106" fillId="0" borderId="0" xfId="47" applyFont="1" applyAlignment="1">
      <alignment horizontal="right" vertical="center"/>
    </xf>
    <xf numFmtId="44" fontId="106" fillId="37" borderId="0" xfId="47" applyFont="1" applyFill="1" applyAlignment="1">
      <alignment horizontal="right" vertical="center"/>
    </xf>
    <xf numFmtId="4" fontId="106" fillId="37" borderId="0" xfId="0" applyNumberFormat="1" applyFont="1" applyFill="1" applyAlignment="1">
      <alignment horizontal="right" vertical="center"/>
    </xf>
    <xf numFmtId="0" fontId="112" fillId="0" borderId="0" xfId="0" applyFont="1" applyAlignment="1">
      <alignment vertical="center"/>
    </xf>
    <xf numFmtId="0" fontId="112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79" fontId="10" fillId="0" borderId="0" xfId="67" applyNumberFormat="1" applyFont="1" applyAlignment="1">
      <alignment horizontal="right" vertical="center" wrapText="1"/>
    </xf>
    <xf numFmtId="0" fontId="9" fillId="0" borderId="42" xfId="0" applyFont="1" applyBorder="1" applyAlignment="1">
      <alignment vertical="center"/>
    </xf>
    <xf numFmtId="0" fontId="113" fillId="34" borderId="12" xfId="0" applyFont="1" applyFill="1" applyBorder="1" applyAlignment="1">
      <alignment horizontal="center" vertical="center"/>
    </xf>
    <xf numFmtId="177" fontId="114" fillId="34" borderId="15" xfId="67" applyFont="1" applyFill="1" applyBorder="1" applyAlignment="1">
      <alignment vertical="center"/>
    </xf>
    <xf numFmtId="177" fontId="114" fillId="34" borderId="15" xfId="67" applyFont="1" applyFill="1" applyBorder="1" applyAlignment="1">
      <alignment horizontal="center" vertical="center"/>
    </xf>
    <xf numFmtId="10" fontId="114" fillId="34" borderId="15" xfId="0" applyNumberFormat="1" applyFont="1" applyFill="1" applyBorder="1" applyAlignment="1">
      <alignment horizontal="center" vertical="center"/>
    </xf>
    <xf numFmtId="2" fontId="114" fillId="34" borderId="16" xfId="0" applyNumberFormat="1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4" fontId="10" fillId="33" borderId="11" xfId="54" applyNumberFormat="1" applyFont="1" applyFill="1" applyBorder="1" applyAlignment="1" applyProtection="1">
      <alignment horizontal="right" vertical="center"/>
      <protection locked="0"/>
    </xf>
    <xf numFmtId="10" fontId="10" fillId="33" borderId="31" xfId="0" applyNumberFormat="1" applyFont="1" applyFill="1" applyBorder="1" applyAlignment="1">
      <alignment vertical="center"/>
    </xf>
    <xf numFmtId="10" fontId="10" fillId="33" borderId="11" xfId="0" applyNumberFormat="1" applyFont="1" applyFill="1" applyBorder="1" applyAlignment="1">
      <alignment horizontal="center" vertical="center"/>
    </xf>
    <xf numFmtId="177" fontId="10" fillId="33" borderId="30" xfId="0" applyNumberFormat="1" applyFont="1" applyFill="1" applyBorder="1" applyAlignment="1">
      <alignment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justify" vertical="center" wrapText="1"/>
    </xf>
    <xf numFmtId="4" fontId="10" fillId="0" borderId="30" xfId="0" applyNumberFormat="1" applyFont="1" applyFill="1" applyBorder="1" applyAlignment="1">
      <alignment horizontal="right" vertical="center"/>
    </xf>
    <xf numFmtId="4" fontId="10" fillId="0" borderId="11" xfId="54" applyNumberFormat="1" applyFont="1" applyFill="1" applyBorder="1" applyAlignment="1" applyProtection="1">
      <alignment horizontal="right" vertical="center"/>
      <protection locked="0"/>
    </xf>
    <xf numFmtId="177" fontId="10" fillId="0" borderId="11" xfId="0" applyNumberFormat="1" applyFont="1" applyBorder="1" applyAlignment="1">
      <alignment vertical="center"/>
    </xf>
    <xf numFmtId="10" fontId="10" fillId="0" borderId="11" xfId="0" applyNumberFormat="1" applyFont="1" applyBorder="1" applyAlignment="1">
      <alignment horizontal="center" vertical="center"/>
    </xf>
    <xf numFmtId="10" fontId="10" fillId="0" borderId="31" xfId="0" applyNumberFormat="1" applyFont="1" applyBorder="1" applyAlignment="1">
      <alignment vertical="center"/>
    </xf>
    <xf numFmtId="10" fontId="10" fillId="0" borderId="30" xfId="0" applyNumberFormat="1" applyFont="1" applyBorder="1" applyAlignment="1">
      <alignment horizontal="center" vertical="center"/>
    </xf>
    <xf numFmtId="177" fontId="10" fillId="0" borderId="11" xfId="0" applyNumberFormat="1" applyFont="1" applyFill="1" applyBorder="1" applyAlignment="1">
      <alignment vertical="center"/>
    </xf>
    <xf numFmtId="10" fontId="10" fillId="0" borderId="30" xfId="0" applyNumberFormat="1" applyFont="1" applyFill="1" applyBorder="1" applyAlignment="1">
      <alignment horizontal="center" vertical="center"/>
    </xf>
    <xf numFmtId="10" fontId="10" fillId="0" borderId="31" xfId="0" applyNumberFormat="1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justify" vertical="center" wrapText="1"/>
    </xf>
    <xf numFmtId="4" fontId="9" fillId="0" borderId="30" xfId="0" applyNumberFormat="1" applyFont="1" applyFill="1" applyBorder="1" applyAlignment="1">
      <alignment horizontal="right" vertical="center"/>
    </xf>
    <xf numFmtId="4" fontId="9" fillId="0" borderId="11" xfId="54" applyNumberFormat="1" applyFont="1" applyFill="1" applyBorder="1" applyAlignment="1" applyProtection="1">
      <alignment horizontal="right" vertical="center"/>
      <protection locked="0"/>
    </xf>
    <xf numFmtId="177" fontId="9" fillId="0" borderId="11" xfId="0" applyNumberFormat="1" applyFont="1" applyBorder="1" applyAlignment="1">
      <alignment vertical="center"/>
    </xf>
    <xf numFmtId="10" fontId="9" fillId="0" borderId="30" xfId="0" applyNumberFormat="1" applyFont="1" applyBorder="1" applyAlignment="1">
      <alignment horizontal="center" vertical="center"/>
    </xf>
    <xf numFmtId="10" fontId="9" fillId="0" borderId="31" xfId="0" applyNumberFormat="1" applyFont="1" applyBorder="1" applyAlignment="1">
      <alignment vertical="center"/>
    </xf>
    <xf numFmtId="0" fontId="114" fillId="34" borderId="43" xfId="0" applyFont="1" applyFill="1" applyBorder="1" applyAlignment="1">
      <alignment horizontal="center" vertical="center"/>
    </xf>
    <xf numFmtId="0" fontId="113" fillId="34" borderId="44" xfId="0" applyFont="1" applyFill="1" applyBorder="1" applyAlignment="1">
      <alignment horizontal="right" vertical="center"/>
    </xf>
    <xf numFmtId="177" fontId="113" fillId="34" borderId="44" xfId="0" applyNumberFormat="1" applyFont="1" applyFill="1" applyBorder="1" applyAlignment="1">
      <alignment vertical="center"/>
    </xf>
    <xf numFmtId="4" fontId="113" fillId="34" borderId="44" xfId="0" applyNumberFormat="1" applyFont="1" applyFill="1" applyBorder="1" applyAlignment="1">
      <alignment vertical="center"/>
    </xf>
    <xf numFmtId="10" fontId="113" fillId="34" borderId="44" xfId="0" applyNumberFormat="1" applyFont="1" applyFill="1" applyBorder="1" applyAlignment="1">
      <alignment horizontal="center" vertical="center"/>
    </xf>
    <xf numFmtId="10" fontId="114" fillId="34" borderId="37" xfId="0" applyNumberFormat="1" applyFont="1" applyFill="1" applyBorder="1" applyAlignment="1">
      <alignment vertical="center"/>
    </xf>
    <xf numFmtId="0" fontId="114" fillId="34" borderId="14" xfId="0" applyFont="1" applyFill="1" applyBorder="1" applyAlignment="1">
      <alignment horizontal="center" vertical="center"/>
    </xf>
    <xf numFmtId="0" fontId="113" fillId="34" borderId="15" xfId="0" applyFont="1" applyFill="1" applyBorder="1" applyAlignment="1">
      <alignment horizontal="right" vertical="center"/>
    </xf>
    <xf numFmtId="177" fontId="114" fillId="34" borderId="15" xfId="0" applyNumberFormat="1" applyFont="1" applyFill="1" applyBorder="1" applyAlignment="1">
      <alignment vertical="center"/>
    </xf>
    <xf numFmtId="4" fontId="114" fillId="34" borderId="15" xfId="54" applyNumberFormat="1" applyFont="1" applyFill="1" applyBorder="1" applyAlignment="1">
      <alignment horizontal="center" vertical="center"/>
    </xf>
    <xf numFmtId="4" fontId="113" fillId="34" borderId="15" xfId="0" applyNumberFormat="1" applyFont="1" applyFill="1" applyBorder="1" applyAlignment="1">
      <alignment vertical="center"/>
    </xf>
    <xf numFmtId="10" fontId="113" fillId="34" borderId="15" xfId="0" applyNumberFormat="1" applyFont="1" applyFill="1" applyBorder="1" applyAlignment="1">
      <alignment horizontal="center" vertical="center"/>
    </xf>
    <xf numFmtId="0" fontId="114" fillId="34" borderId="16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0" fontId="8" fillId="0" borderId="0" xfId="0" applyNumberFormat="1" applyFont="1" applyAlignment="1">
      <alignment vertical="center"/>
    </xf>
    <xf numFmtId="43" fontId="9" fillId="0" borderId="0" xfId="0" applyNumberFormat="1" applyFont="1" applyAlignment="1">
      <alignment vertical="center"/>
    </xf>
    <xf numFmtId="0" fontId="10" fillId="35" borderId="0" xfId="0" applyFont="1" applyFill="1" applyAlignment="1">
      <alignment vertical="center" wrapText="1"/>
    </xf>
    <xf numFmtId="4" fontId="10" fillId="35" borderId="0" xfId="67" applyNumberFormat="1" applyFont="1" applyFill="1" applyBorder="1" applyAlignment="1">
      <alignment horizontal="right" vertical="center"/>
    </xf>
    <xf numFmtId="10" fontId="10" fillId="0" borderId="0" xfId="0" applyNumberFormat="1" applyFont="1" applyAlignment="1">
      <alignment horizontal="center" vertical="center"/>
    </xf>
    <xf numFmtId="0" fontId="10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vertical="center"/>
    </xf>
    <xf numFmtId="0" fontId="10" fillId="35" borderId="0" xfId="0" applyFont="1" applyFill="1" applyAlignment="1">
      <alignment horizontal="center" vertical="center"/>
    </xf>
    <xf numFmtId="190" fontId="10" fillId="35" borderId="0" xfId="0" applyNumberFormat="1" applyFont="1" applyFill="1" applyBorder="1" applyAlignment="1">
      <alignment horizontal="center" vertical="center"/>
    </xf>
    <xf numFmtId="0" fontId="10" fillId="40" borderId="0" xfId="0" applyFont="1" applyFill="1" applyBorder="1" applyAlignment="1">
      <alignment vertical="center" wrapText="1"/>
    </xf>
    <xf numFmtId="0" fontId="9" fillId="40" borderId="0" xfId="0" applyFont="1" applyFill="1" applyAlignment="1">
      <alignment vertical="center"/>
    </xf>
    <xf numFmtId="0" fontId="9" fillId="35" borderId="27" xfId="0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0" fontId="98" fillId="35" borderId="25" xfId="0" applyFont="1" applyFill="1" applyBorder="1" applyAlignment="1">
      <alignment horizontal="center" vertical="center" wrapText="1"/>
    </xf>
    <xf numFmtId="0" fontId="10" fillId="35" borderId="26" xfId="0" applyFont="1" applyFill="1" applyBorder="1" applyAlignment="1">
      <alignment horizontal="center" vertical="center" wrapText="1"/>
    </xf>
    <xf numFmtId="0" fontId="113" fillId="34" borderId="45" xfId="0" applyFont="1" applyFill="1" applyBorder="1" applyAlignment="1">
      <alignment vertical="center" wrapText="1"/>
    </xf>
    <xf numFmtId="0" fontId="113" fillId="34" borderId="46" xfId="0" applyFont="1" applyFill="1" applyBorder="1" applyAlignment="1">
      <alignment horizontal="center" vertical="center" wrapText="1"/>
    </xf>
    <xf numFmtId="0" fontId="113" fillId="34" borderId="47" xfId="0" applyFont="1" applyFill="1" applyBorder="1" applyAlignment="1">
      <alignment horizontal="center" vertical="center" wrapText="1"/>
    </xf>
    <xf numFmtId="0" fontId="10" fillId="35" borderId="43" xfId="0" applyFont="1" applyFill="1" applyBorder="1" applyAlignment="1">
      <alignment vertical="center" wrapText="1"/>
    </xf>
    <xf numFmtId="0" fontId="10" fillId="35" borderId="44" xfId="0" applyFont="1" applyFill="1" applyBorder="1" applyAlignment="1">
      <alignment vertical="center" wrapText="1"/>
    </xf>
    <xf numFmtId="0" fontId="10" fillId="35" borderId="44" xfId="0" applyFont="1" applyFill="1" applyBorder="1" applyAlignment="1">
      <alignment horizontal="center" vertical="center" wrapText="1"/>
    </xf>
    <xf numFmtId="177" fontId="10" fillId="35" borderId="44" xfId="57" applyFont="1" applyFill="1" applyBorder="1" applyAlignment="1">
      <alignment horizontal="center" vertical="center" wrapText="1"/>
    </xf>
    <xf numFmtId="0" fontId="96" fillId="35" borderId="37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right" vertical="center" wrapText="1"/>
    </xf>
    <xf numFmtId="44" fontId="9" fillId="35" borderId="11" xfId="47" applyFont="1" applyFill="1" applyBorder="1" applyAlignment="1">
      <alignment vertical="center" wrapText="1"/>
    </xf>
    <xf numFmtId="44" fontId="97" fillId="35" borderId="12" xfId="47" applyFont="1" applyFill="1" applyBorder="1" applyAlignment="1">
      <alignment vertical="center" wrapText="1"/>
    </xf>
    <xf numFmtId="0" fontId="9" fillId="35" borderId="14" xfId="0" applyFont="1" applyFill="1" applyBorder="1" applyAlignment="1">
      <alignment horizontal="right" vertical="center" wrapText="1"/>
    </xf>
    <xf numFmtId="0" fontId="9" fillId="35" borderId="15" xfId="0" applyFont="1" applyFill="1" applyBorder="1" applyAlignment="1">
      <alignment vertical="center" wrapText="1"/>
    </xf>
    <xf numFmtId="0" fontId="9" fillId="35" borderId="15" xfId="0" applyFont="1" applyFill="1" applyBorder="1" applyAlignment="1">
      <alignment horizontal="center" vertical="center" wrapText="1"/>
    </xf>
    <xf numFmtId="44" fontId="9" fillId="35" borderId="15" xfId="47" applyFont="1" applyFill="1" applyBorder="1" applyAlignment="1">
      <alignment vertical="center" wrapText="1"/>
    </xf>
    <xf numFmtId="44" fontId="10" fillId="35" borderId="23" xfId="47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44" fontId="98" fillId="35" borderId="0" xfId="47" applyFont="1" applyFill="1" applyBorder="1" applyAlignment="1">
      <alignment horizontal="center" vertical="center" wrapText="1"/>
    </xf>
    <xf numFmtId="44" fontId="98" fillId="35" borderId="0" xfId="47" applyNumberFormat="1" applyFont="1" applyFill="1" applyBorder="1" applyAlignment="1">
      <alignment horizontal="center" vertical="center" wrapText="1"/>
    </xf>
    <xf numFmtId="44" fontId="98" fillId="35" borderId="28" xfId="47" applyNumberFormat="1" applyFont="1" applyFill="1" applyBorder="1" applyAlignment="1">
      <alignment horizontal="center" vertical="center" wrapText="1"/>
    </xf>
    <xf numFmtId="0" fontId="113" fillId="34" borderId="45" xfId="0" applyFont="1" applyFill="1" applyBorder="1" applyAlignment="1">
      <alignment horizontal="left" vertical="center" wrapText="1"/>
    </xf>
    <xf numFmtId="0" fontId="9" fillId="40" borderId="0" xfId="0" applyFont="1" applyFill="1" applyAlignment="1">
      <alignment/>
    </xf>
    <xf numFmtId="0" fontId="10" fillId="35" borderId="37" xfId="0" applyFont="1" applyFill="1" applyBorder="1" applyAlignment="1">
      <alignment horizontal="center" vertical="center" wrapText="1"/>
    </xf>
    <xf numFmtId="44" fontId="9" fillId="35" borderId="12" xfId="47" applyFont="1" applyFill="1" applyBorder="1" applyAlignment="1">
      <alignment vertical="center" wrapText="1"/>
    </xf>
    <xf numFmtId="0" fontId="9" fillId="35" borderId="13" xfId="0" applyFont="1" applyFill="1" applyBorder="1" applyAlignment="1" quotePrefix="1">
      <alignment horizontal="right" vertical="center"/>
    </xf>
    <xf numFmtId="0" fontId="9" fillId="35" borderId="14" xfId="0" applyFont="1" applyFill="1" applyBorder="1" applyAlignment="1" quotePrefix="1">
      <alignment horizontal="right" vertical="center"/>
    </xf>
    <xf numFmtId="44" fontId="9" fillId="35" borderId="15" xfId="47" applyFont="1" applyFill="1" applyBorder="1" applyAlignment="1">
      <alignment horizontal="center" vertical="center" wrapText="1"/>
    </xf>
    <xf numFmtId="44" fontId="9" fillId="35" borderId="34" xfId="47" applyFont="1" applyFill="1" applyBorder="1" applyAlignment="1">
      <alignment vertical="center" wrapText="1"/>
    </xf>
    <xf numFmtId="0" fontId="98" fillId="35" borderId="44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5" fillId="0" borderId="0" xfId="0" applyFont="1" applyBorder="1" applyAlignment="1">
      <alignment/>
    </xf>
    <xf numFmtId="0" fontId="95" fillId="0" borderId="28" xfId="0" applyFont="1" applyBorder="1" applyAlignment="1">
      <alignment/>
    </xf>
    <xf numFmtId="44" fontId="9" fillId="35" borderId="16" xfId="47" applyFont="1" applyFill="1" applyBorder="1" applyAlignment="1">
      <alignment vertical="center" wrapText="1"/>
    </xf>
    <xf numFmtId="0" fontId="98" fillId="35" borderId="37" xfId="0" applyFont="1" applyFill="1" applyBorder="1" applyAlignment="1">
      <alignment horizontal="center" vertical="center" wrapText="1"/>
    </xf>
    <xf numFmtId="44" fontId="9" fillId="35" borderId="33" xfId="47" applyFont="1" applyFill="1" applyBorder="1" applyAlignment="1">
      <alignment vertical="center" wrapText="1"/>
    </xf>
    <xf numFmtId="44" fontId="10" fillId="35" borderId="40" xfId="47" applyFont="1" applyFill="1" applyBorder="1" applyAlignment="1">
      <alignment horizontal="center" vertical="center" wrapText="1"/>
    </xf>
    <xf numFmtId="44" fontId="10" fillId="35" borderId="19" xfId="47" applyFont="1" applyFill="1" applyBorder="1" applyAlignment="1">
      <alignment horizontal="center" vertical="center" wrapText="1"/>
    </xf>
    <xf numFmtId="44" fontId="10" fillId="35" borderId="48" xfId="47" applyFont="1" applyFill="1" applyBorder="1" applyAlignment="1">
      <alignment horizontal="center" vertical="center" wrapText="1"/>
    </xf>
    <xf numFmtId="44" fontId="10" fillId="35" borderId="22" xfId="47" applyFont="1" applyFill="1" applyBorder="1" applyAlignment="1">
      <alignment horizontal="center" vertical="center" wrapText="1"/>
    </xf>
    <xf numFmtId="0" fontId="9" fillId="35" borderId="33" xfId="0" applyFont="1" applyFill="1" applyBorder="1" applyAlignment="1">
      <alignment vertical="center" wrapText="1"/>
    </xf>
    <xf numFmtId="0" fontId="97" fillId="40" borderId="0" xfId="0" applyFont="1" applyFill="1" applyAlignment="1">
      <alignment/>
    </xf>
    <xf numFmtId="0" fontId="96" fillId="35" borderId="43" xfId="0" applyFont="1" applyFill="1" applyBorder="1" applyAlignment="1">
      <alignment vertical="center" wrapText="1"/>
    </xf>
    <xf numFmtId="0" fontId="96" fillId="35" borderId="44" xfId="0" applyFont="1" applyFill="1" applyBorder="1" applyAlignment="1">
      <alignment vertical="center" wrapText="1"/>
    </xf>
    <xf numFmtId="0" fontId="96" fillId="35" borderId="44" xfId="0" applyFont="1" applyFill="1" applyBorder="1" applyAlignment="1">
      <alignment horizontal="center" vertical="center" wrapText="1"/>
    </xf>
    <xf numFmtId="177" fontId="96" fillId="35" borderId="44" xfId="57" applyFont="1" applyFill="1" applyBorder="1" applyAlignment="1">
      <alignment horizontal="center" vertical="center" wrapText="1"/>
    </xf>
    <xf numFmtId="0" fontId="97" fillId="0" borderId="0" xfId="0" applyFont="1" applyAlignment="1">
      <alignment/>
    </xf>
    <xf numFmtId="0" fontId="97" fillId="35" borderId="13" xfId="0" applyFont="1" applyFill="1" applyBorder="1" applyAlignment="1">
      <alignment horizontal="right" vertical="center" wrapText="1"/>
    </xf>
    <xf numFmtId="0" fontId="97" fillId="35" borderId="11" xfId="0" applyFont="1" applyFill="1" applyBorder="1" applyAlignment="1">
      <alignment vertical="center" wrapText="1"/>
    </xf>
    <xf numFmtId="182" fontId="9" fillId="35" borderId="11" xfId="0" applyNumberFormat="1" applyFont="1" applyFill="1" applyBorder="1" applyAlignment="1">
      <alignment horizontal="center" vertical="center" wrapText="1"/>
    </xf>
    <xf numFmtId="44" fontId="9" fillId="35" borderId="11" xfId="47" applyFont="1" applyFill="1" applyBorder="1" applyAlignment="1">
      <alignment horizontal="center" vertical="center" wrapText="1"/>
    </xf>
    <xf numFmtId="182" fontId="9" fillId="35" borderId="15" xfId="0" applyNumberFormat="1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183" fontId="9" fillId="35" borderId="11" xfId="47" applyNumberFormat="1" applyFont="1" applyFill="1" applyBorder="1" applyAlignment="1">
      <alignment horizontal="center" vertical="center" wrapText="1"/>
    </xf>
    <xf numFmtId="205" fontId="9" fillId="35" borderId="12" xfId="47" applyNumberFormat="1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183" fontId="9" fillId="35" borderId="15" xfId="47" applyNumberFormat="1" applyFont="1" applyFill="1" applyBorder="1" applyAlignment="1">
      <alignment horizontal="center" vertical="center" wrapText="1"/>
    </xf>
    <xf numFmtId="205" fontId="9" fillId="35" borderId="16" xfId="47" applyNumberFormat="1" applyFont="1" applyFill="1" applyBorder="1" applyAlignment="1">
      <alignment horizontal="center" vertical="center" wrapText="1"/>
    </xf>
    <xf numFmtId="44" fontId="10" fillId="35" borderId="0" xfId="47" applyFont="1" applyFill="1" applyBorder="1" applyAlignment="1">
      <alignment horizontal="center" vertical="center" wrapText="1"/>
    </xf>
    <xf numFmtId="0" fontId="113" fillId="34" borderId="48" xfId="0" applyFont="1" applyFill="1" applyBorder="1" applyAlignment="1">
      <alignment horizontal="center" vertical="center"/>
    </xf>
    <xf numFmtId="0" fontId="113" fillId="34" borderId="49" xfId="0" applyFont="1" applyFill="1" applyBorder="1" applyAlignment="1">
      <alignment horizontal="center" vertical="center" wrapText="1"/>
    </xf>
    <xf numFmtId="0" fontId="113" fillId="34" borderId="49" xfId="0" applyFont="1" applyFill="1" applyBorder="1" applyAlignment="1">
      <alignment horizontal="center" vertical="center"/>
    </xf>
    <xf numFmtId="0" fontId="113" fillId="34" borderId="50" xfId="0" applyFont="1" applyFill="1" applyBorder="1" applyAlignment="1">
      <alignment horizontal="center" vertical="center"/>
    </xf>
    <xf numFmtId="14" fontId="9" fillId="0" borderId="29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center" wrapText="1"/>
    </xf>
    <xf numFmtId="0" fontId="9" fillId="35" borderId="30" xfId="47" applyNumberFormat="1" applyFont="1" applyFill="1" applyBorder="1" applyAlignment="1">
      <alignment horizontal="center" vertical="center" wrapText="1"/>
    </xf>
    <xf numFmtId="44" fontId="9" fillId="35" borderId="31" xfId="47" applyFont="1" applyFill="1" applyBorder="1" applyAlignment="1">
      <alignment vertical="center"/>
    </xf>
    <xf numFmtId="14" fontId="9" fillId="0" borderId="13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35" borderId="11" xfId="47" applyNumberFormat="1" applyFont="1" applyFill="1" applyBorder="1" applyAlignment="1">
      <alignment horizontal="center" vertical="center" wrapText="1"/>
    </xf>
    <xf numFmtId="44" fontId="9" fillId="35" borderId="12" xfId="47" applyFont="1" applyFill="1" applyBorder="1" applyAlignment="1">
      <alignment vertical="center"/>
    </xf>
    <xf numFmtId="0" fontId="19" fillId="35" borderId="14" xfId="0" applyFont="1" applyFill="1" applyBorder="1" applyAlignment="1">
      <alignment horizontal="right" vertical="center"/>
    </xf>
    <xf numFmtId="0" fontId="10" fillId="35" borderId="15" xfId="0" applyFont="1" applyFill="1" applyBorder="1" applyAlignment="1">
      <alignment horizontal="center" vertical="center" wrapText="1"/>
    </xf>
    <xf numFmtId="44" fontId="10" fillId="35" borderId="16" xfId="47" applyFont="1" applyFill="1" applyBorder="1" applyAlignment="1">
      <alignment vertical="center"/>
    </xf>
    <xf numFmtId="0" fontId="95" fillId="0" borderId="27" xfId="0" applyFont="1" applyBorder="1" applyAlignment="1">
      <alignment/>
    </xf>
    <xf numFmtId="0" fontId="95" fillId="0" borderId="0" xfId="0" applyFont="1" applyBorder="1" applyAlignment="1">
      <alignment horizontal="center"/>
    </xf>
    <xf numFmtId="0" fontId="9" fillId="0" borderId="51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2" xfId="0" applyFont="1" applyBorder="1" applyAlignment="1">
      <alignment horizontal="center"/>
    </xf>
    <xf numFmtId="0" fontId="95" fillId="0" borderId="42" xfId="0" applyFont="1" applyBorder="1" applyAlignment="1">
      <alignment/>
    </xf>
    <xf numFmtId="0" fontId="95" fillId="0" borderId="22" xfId="0" applyFont="1" applyBorder="1" applyAlignment="1">
      <alignment/>
    </xf>
    <xf numFmtId="0" fontId="114" fillId="34" borderId="15" xfId="0" applyFont="1" applyFill="1" applyBorder="1" applyAlignment="1">
      <alignment horizontal="center" vertical="center"/>
    </xf>
    <xf numFmtId="0" fontId="115" fillId="0" borderId="0" xfId="0" applyFont="1" applyBorder="1" applyAlignment="1">
      <alignment vertical="center"/>
    </xf>
    <xf numFmtId="0" fontId="115" fillId="0" borderId="0" xfId="0" applyFont="1" applyAlignment="1">
      <alignment vertical="center"/>
    </xf>
    <xf numFmtId="0" fontId="115" fillId="0" borderId="0" xfId="0" applyFont="1" applyBorder="1" applyAlignment="1">
      <alignment vertical="center" wrapText="1"/>
    </xf>
    <xf numFmtId="0" fontId="115" fillId="0" borderId="0" xfId="0" applyFont="1" applyAlignment="1">
      <alignment vertical="center" wrapText="1"/>
    </xf>
    <xf numFmtId="0" fontId="95" fillId="35" borderId="11" xfId="47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justify" vertical="center" wrapText="1"/>
    </xf>
    <xf numFmtId="4" fontId="10" fillId="33" borderId="11" xfId="0" applyNumberFormat="1" applyFont="1" applyFill="1" applyBorder="1" applyAlignment="1">
      <alignment horizontal="right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justify" vertical="center" wrapText="1"/>
    </xf>
    <xf numFmtId="4" fontId="9" fillId="0" borderId="53" xfId="0" applyNumberFormat="1" applyFont="1" applyFill="1" applyBorder="1" applyAlignment="1">
      <alignment horizontal="right" vertical="center"/>
    </xf>
    <xf numFmtId="4" fontId="9" fillId="0" borderId="33" xfId="54" applyNumberFormat="1" applyFont="1" applyFill="1" applyBorder="1" applyAlignment="1" applyProtection="1">
      <alignment horizontal="right" vertical="center"/>
      <protection locked="0"/>
    </xf>
    <xf numFmtId="177" fontId="9" fillId="0" borderId="33" xfId="0" applyNumberFormat="1" applyFont="1" applyBorder="1" applyAlignment="1">
      <alignment vertical="center"/>
    </xf>
    <xf numFmtId="10" fontId="9" fillId="0" borderId="53" xfId="0" applyNumberFormat="1" applyFont="1" applyBorder="1" applyAlignment="1">
      <alignment horizontal="center" vertical="center"/>
    </xf>
    <xf numFmtId="10" fontId="9" fillId="0" borderId="54" xfId="0" applyNumberFormat="1" applyFont="1" applyBorder="1" applyAlignment="1">
      <alignment vertical="center"/>
    </xf>
    <xf numFmtId="0" fontId="101" fillId="0" borderId="35" xfId="0" applyFont="1" applyBorder="1" applyAlignment="1">
      <alignment horizontal="center" vertical="center"/>
    </xf>
    <xf numFmtId="0" fontId="101" fillId="0" borderId="18" xfId="0" applyFont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/>
    </xf>
    <xf numFmtId="0" fontId="99" fillId="34" borderId="35" xfId="0" applyFont="1" applyFill="1" applyBorder="1" applyAlignment="1">
      <alignment horizontal="center" vertical="center"/>
    </xf>
    <xf numFmtId="0" fontId="99" fillId="34" borderId="19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13" fillId="34" borderId="35" xfId="0" applyFont="1" applyFill="1" applyBorder="1" applyAlignment="1">
      <alignment horizontal="center" vertical="center"/>
    </xf>
    <xf numFmtId="0" fontId="113" fillId="34" borderId="18" xfId="0" applyFont="1" applyFill="1" applyBorder="1" applyAlignment="1">
      <alignment horizontal="center" vertical="center"/>
    </xf>
    <xf numFmtId="0" fontId="113" fillId="34" borderId="19" xfId="0" applyFont="1" applyFill="1" applyBorder="1" applyAlignment="1">
      <alignment horizontal="center" vertical="center"/>
    </xf>
    <xf numFmtId="0" fontId="99" fillId="34" borderId="55" xfId="0" applyFont="1" applyFill="1" applyBorder="1" applyAlignment="1">
      <alignment horizontal="center" vertical="center" wrapText="1"/>
    </xf>
    <xf numFmtId="0" fontId="99" fillId="34" borderId="23" xfId="0" applyFont="1" applyFill="1" applyBorder="1" applyAlignment="1">
      <alignment horizontal="center" vertical="center" wrapText="1"/>
    </xf>
    <xf numFmtId="0" fontId="99" fillId="34" borderId="51" xfId="0" applyFont="1" applyFill="1" applyBorder="1" applyAlignment="1">
      <alignment horizontal="center" vertical="center" wrapText="1"/>
    </xf>
    <xf numFmtId="0" fontId="99" fillId="34" borderId="2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5" fillId="34" borderId="35" xfId="0" applyFont="1" applyFill="1" applyBorder="1" applyAlignment="1">
      <alignment horizontal="center" wrapText="1"/>
    </xf>
    <xf numFmtId="0" fontId="105" fillId="34" borderId="18" xfId="0" applyFont="1" applyFill="1" applyBorder="1" applyAlignment="1">
      <alignment horizontal="center" wrapText="1"/>
    </xf>
    <xf numFmtId="0" fontId="105" fillId="34" borderId="19" xfId="0" applyFont="1" applyFill="1" applyBorder="1" applyAlignment="1">
      <alignment horizontal="center" wrapTex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10" fillId="0" borderId="57" xfId="0" applyFont="1" applyBorder="1" applyAlignment="1">
      <alignment horizontal="left" vertical="center"/>
    </xf>
    <xf numFmtId="0" fontId="10" fillId="35" borderId="0" xfId="0" applyFont="1" applyFill="1" applyAlignment="1">
      <alignment horizontal="left"/>
    </xf>
    <xf numFmtId="0" fontId="116" fillId="0" borderId="0" xfId="0" applyFont="1" applyAlignment="1">
      <alignment horizontal="left" vertical="center"/>
    </xf>
    <xf numFmtId="0" fontId="94" fillId="0" borderId="0" xfId="0" applyFont="1" applyBorder="1" applyAlignment="1">
      <alignment horizontal="center" vertical="center" wrapText="1"/>
    </xf>
    <xf numFmtId="0" fontId="117" fillId="0" borderId="0" xfId="0" applyFont="1" applyBorder="1" applyAlignment="1">
      <alignment horizontal="left" vertical="center" wrapText="1"/>
    </xf>
    <xf numFmtId="0" fontId="113" fillId="34" borderId="35" xfId="0" applyFont="1" applyFill="1" applyBorder="1" applyAlignment="1">
      <alignment horizontal="center" vertical="center" wrapText="1"/>
    </xf>
    <xf numFmtId="0" fontId="113" fillId="34" borderId="18" xfId="0" applyFont="1" applyFill="1" applyBorder="1" applyAlignment="1">
      <alignment horizontal="center" vertical="center" wrapText="1"/>
    </xf>
    <xf numFmtId="0" fontId="113" fillId="34" borderId="1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9" fillId="35" borderId="0" xfId="0" applyFont="1" applyFill="1" applyAlignment="1">
      <alignment horizontal="center"/>
    </xf>
    <xf numFmtId="0" fontId="10" fillId="35" borderId="0" xfId="0" applyFont="1" applyFill="1" applyAlignment="1">
      <alignment horizontal="left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right" vertical="center" wrapText="1"/>
    </xf>
    <xf numFmtId="0" fontId="10" fillId="35" borderId="28" xfId="0" applyFont="1" applyFill="1" applyBorder="1" applyAlignment="1">
      <alignment horizontal="right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5" borderId="25" xfId="0" applyFont="1" applyFill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35" borderId="51" xfId="0" applyFont="1" applyFill="1" applyBorder="1" applyAlignment="1">
      <alignment horizontal="center" vertical="center" wrapText="1"/>
    </xf>
    <xf numFmtId="0" fontId="9" fillId="35" borderId="42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113" fillId="34" borderId="56" xfId="0" applyFont="1" applyFill="1" applyBorder="1" applyAlignment="1">
      <alignment horizontal="left" vertical="center" wrapText="1"/>
    </xf>
    <xf numFmtId="0" fontId="113" fillId="34" borderId="62" xfId="0" applyFont="1" applyFill="1" applyBorder="1" applyAlignment="1">
      <alignment horizontal="left" vertical="center" wrapText="1"/>
    </xf>
    <xf numFmtId="0" fontId="113" fillId="34" borderId="63" xfId="0" applyFont="1" applyFill="1" applyBorder="1" applyAlignment="1">
      <alignment horizontal="left" vertical="center" wrapText="1"/>
    </xf>
    <xf numFmtId="0" fontId="113" fillId="34" borderId="64" xfId="0" applyFont="1" applyFill="1" applyBorder="1" applyAlignment="1">
      <alignment horizontal="center" vertical="center"/>
    </xf>
    <xf numFmtId="0" fontId="113" fillId="34" borderId="39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0" fillId="35" borderId="64" xfId="0" applyFont="1" applyFill="1" applyBorder="1" applyAlignment="1">
      <alignment horizontal="center" vertical="center"/>
    </xf>
    <xf numFmtId="0" fontId="10" fillId="35" borderId="65" xfId="0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horizontal="center" vertical="center"/>
    </xf>
    <xf numFmtId="0" fontId="20" fillId="35" borderId="27" xfId="0" applyFont="1" applyFill="1" applyBorder="1" applyAlignment="1">
      <alignment horizontal="center" wrapText="1"/>
    </xf>
    <xf numFmtId="0" fontId="20" fillId="35" borderId="0" xfId="0" applyFont="1" applyFill="1" applyBorder="1" applyAlignment="1">
      <alignment horizontal="center" wrapText="1"/>
    </xf>
    <xf numFmtId="0" fontId="20" fillId="35" borderId="28" xfId="0" applyFont="1" applyFill="1" applyBorder="1" applyAlignment="1">
      <alignment horizontal="center" wrapText="1"/>
    </xf>
    <xf numFmtId="0" fontId="12" fillId="41" borderId="35" xfId="0" applyFont="1" applyFill="1" applyBorder="1" applyAlignment="1">
      <alignment horizontal="center" vertical="center" wrapText="1"/>
    </xf>
    <xf numFmtId="0" fontId="12" fillId="41" borderId="18" xfId="0" applyFont="1" applyFill="1" applyBorder="1" applyAlignment="1">
      <alignment horizontal="center" vertical="center" wrapText="1"/>
    </xf>
    <xf numFmtId="0" fontId="12" fillId="41" borderId="19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18" fillId="0" borderId="0" xfId="0" applyFont="1" applyAlignment="1">
      <alignment horizontal="left" vertical="center"/>
    </xf>
    <xf numFmtId="0" fontId="12" fillId="0" borderId="0" xfId="0" applyFont="1" applyBorder="1" applyAlignment="1">
      <alignment horizontal="right" vertical="center" wrapText="1"/>
    </xf>
    <xf numFmtId="0" fontId="15" fillId="0" borderId="4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92" fillId="0" borderId="0" xfId="0" applyFont="1" applyAlignment="1">
      <alignment horizontal="left" vertical="center"/>
    </xf>
    <xf numFmtId="0" fontId="117" fillId="0" borderId="0" xfId="0" applyFont="1" applyBorder="1" applyAlignment="1">
      <alignment horizontal="center" vertical="center" wrapText="1"/>
    </xf>
    <xf numFmtId="0" fontId="111" fillId="34" borderId="18" xfId="0" applyFont="1" applyFill="1" applyBorder="1" applyAlignment="1">
      <alignment horizontal="right" vertical="center"/>
    </xf>
    <xf numFmtId="0" fontId="105" fillId="34" borderId="18" xfId="0" applyFont="1" applyFill="1" applyBorder="1" applyAlignment="1">
      <alignment horizontal="left" vertical="center" wrapText="1"/>
    </xf>
    <xf numFmtId="0" fontId="105" fillId="34" borderId="19" xfId="0" applyFont="1" applyFill="1" applyBorder="1" applyAlignment="1">
      <alignment horizontal="left" vertical="center" wrapText="1"/>
    </xf>
    <xf numFmtId="0" fontId="105" fillId="34" borderId="18" xfId="0" applyFont="1" applyFill="1" applyBorder="1" applyAlignment="1">
      <alignment horizontal="right" vertical="center"/>
    </xf>
    <xf numFmtId="0" fontId="119" fillId="34" borderId="35" xfId="0" applyFont="1" applyFill="1" applyBorder="1" applyAlignment="1">
      <alignment horizontal="center" vertical="center" wrapText="1"/>
    </xf>
    <xf numFmtId="0" fontId="119" fillId="34" borderId="18" xfId="0" applyFont="1" applyFill="1" applyBorder="1" applyAlignment="1">
      <alignment horizontal="center" vertical="center" wrapText="1"/>
    </xf>
    <xf numFmtId="0" fontId="119" fillId="34" borderId="19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 quotePrefix="1">
      <alignment horizontal="right" vertical="center" wrapText="1"/>
    </xf>
    <xf numFmtId="0" fontId="12" fillId="35" borderId="64" xfId="0" applyFont="1" applyFill="1" applyBorder="1" applyAlignment="1" quotePrefix="1">
      <alignment horizontal="right" vertical="center" wrapText="1"/>
    </xf>
    <xf numFmtId="0" fontId="12" fillId="35" borderId="65" xfId="0" applyFont="1" applyFill="1" applyBorder="1" applyAlignment="1" quotePrefix="1">
      <alignment horizontal="right" vertical="center" wrapText="1"/>
    </xf>
    <xf numFmtId="0" fontId="12" fillId="35" borderId="39" xfId="0" applyFont="1" applyFill="1" applyBorder="1" applyAlignment="1" quotePrefix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88" fillId="0" borderId="0" xfId="0" applyFont="1" applyBorder="1" applyAlignment="1">
      <alignment horizontal="center" vertical="center" wrapText="1"/>
    </xf>
    <xf numFmtId="0" fontId="90" fillId="34" borderId="35" xfId="0" applyFont="1" applyFill="1" applyBorder="1" applyAlignment="1">
      <alignment horizontal="right" vertical="center"/>
    </xf>
    <xf numFmtId="0" fontId="90" fillId="34" borderId="18" xfId="0" applyFont="1" applyFill="1" applyBorder="1" applyAlignment="1">
      <alignment horizontal="right" vertical="center"/>
    </xf>
    <xf numFmtId="0" fontId="90" fillId="34" borderId="35" xfId="0" applyFont="1" applyFill="1" applyBorder="1" applyAlignment="1">
      <alignment horizontal="center" vertical="center" wrapText="1"/>
    </xf>
    <xf numFmtId="0" fontId="90" fillId="34" borderId="18" xfId="0" applyFont="1" applyFill="1" applyBorder="1" applyAlignment="1">
      <alignment horizontal="center" vertical="center" wrapText="1"/>
    </xf>
    <xf numFmtId="0" fontId="90" fillId="34" borderId="19" xfId="0" applyFont="1" applyFill="1" applyBorder="1" applyAlignment="1">
      <alignment horizontal="center" vertical="center" wrapText="1"/>
    </xf>
    <xf numFmtId="0" fontId="120" fillId="0" borderId="0" xfId="0" applyFont="1" applyBorder="1" applyAlignment="1">
      <alignment horizontal="left" vertical="center"/>
    </xf>
    <xf numFmtId="0" fontId="12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1" fillId="0" borderId="0" xfId="0" applyFont="1" applyAlignment="1">
      <alignment horizontal="left" vertical="center"/>
    </xf>
    <xf numFmtId="0" fontId="12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13" fillId="34" borderId="66" xfId="0" applyFont="1" applyFill="1" applyBorder="1" applyAlignment="1">
      <alignment horizontal="center" vertical="center"/>
    </xf>
    <xf numFmtId="0" fontId="113" fillId="34" borderId="25" xfId="0" applyFont="1" applyFill="1" applyBorder="1" applyAlignment="1">
      <alignment horizontal="center" vertical="center"/>
    </xf>
    <xf numFmtId="0" fontId="114" fillId="34" borderId="26" xfId="0" applyFont="1" applyFill="1" applyBorder="1" applyAlignment="1">
      <alignment vertical="center"/>
    </xf>
    <xf numFmtId="49" fontId="113" fillId="34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49" fontId="113" fillId="34" borderId="45" xfId="0" applyNumberFormat="1" applyFont="1" applyFill="1" applyBorder="1" applyAlignment="1">
      <alignment horizontal="center" vertical="center" wrapText="1"/>
    </xf>
    <xf numFmtId="49" fontId="113" fillId="34" borderId="52" xfId="0" applyNumberFormat="1" applyFont="1" applyFill="1" applyBorder="1" applyAlignment="1">
      <alignment horizontal="center" vertical="center" wrapText="1"/>
    </xf>
    <xf numFmtId="0" fontId="114" fillId="34" borderId="48" xfId="0" applyFont="1" applyFill="1" applyBorder="1" applyAlignment="1">
      <alignment horizontal="center" vertical="center" wrapText="1"/>
    </xf>
    <xf numFmtId="0" fontId="113" fillId="34" borderId="44" xfId="0" applyFont="1" applyFill="1" applyBorder="1" applyAlignment="1">
      <alignment horizontal="center" vertical="center"/>
    </xf>
    <xf numFmtId="0" fontId="113" fillId="34" borderId="11" xfId="0" applyFont="1" applyFill="1" applyBorder="1" applyAlignment="1">
      <alignment horizontal="center" vertical="center"/>
    </xf>
    <xf numFmtId="0" fontId="114" fillId="34" borderId="15" xfId="0" applyFont="1" applyFill="1" applyBorder="1" applyAlignment="1">
      <alignment horizontal="center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4" xfId="52"/>
    <cellStyle name="Nota" xfId="53"/>
    <cellStyle name="Percent" xfId="54"/>
    <cellStyle name="Saída" xfId="55"/>
    <cellStyle name="Comma [0]" xfId="56"/>
    <cellStyle name="Separador de milhares 2" xfId="57"/>
    <cellStyle name="Separador de milhares 2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23</xdr:row>
      <xdr:rowOff>19050</xdr:rowOff>
    </xdr:from>
    <xdr:to>
      <xdr:col>0</xdr:col>
      <xdr:colOff>2466975</xdr:colOff>
      <xdr:row>24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676775"/>
          <a:ext cx="2381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0</xdr:row>
      <xdr:rowOff>66675</xdr:rowOff>
    </xdr:from>
    <xdr:to>
      <xdr:col>2</xdr:col>
      <xdr:colOff>847725</xdr:colOff>
      <xdr:row>2</xdr:row>
      <xdr:rowOff>133350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6675"/>
          <a:ext cx="1657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3743325</xdr:colOff>
      <xdr:row>0</xdr:row>
      <xdr:rowOff>0</xdr:rowOff>
    </xdr:from>
    <xdr:to>
      <xdr:col>3</xdr:col>
      <xdr:colOff>495300</xdr:colOff>
      <xdr:row>2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2133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0</xdr:row>
      <xdr:rowOff>0</xdr:rowOff>
    </xdr:from>
    <xdr:to>
      <xdr:col>5</xdr:col>
      <xdr:colOff>1047750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0"/>
          <a:ext cx="1790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0</xdr:rowOff>
    </xdr:from>
    <xdr:to>
      <xdr:col>8</xdr:col>
      <xdr:colOff>1409700</xdr:colOff>
      <xdr:row>3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0"/>
          <a:ext cx="2428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609600</xdr:colOff>
      <xdr:row>1</xdr:row>
      <xdr:rowOff>0</xdr:rowOff>
    </xdr:to>
    <xdr:pic>
      <xdr:nvPicPr>
        <xdr:cNvPr id="1" name="Picture 8" descr="De Mãos Dad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22860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609600</xdr:colOff>
      <xdr:row>1</xdr:row>
      <xdr:rowOff>0</xdr:rowOff>
    </xdr:from>
    <xdr:to>
      <xdr:col>8</xdr:col>
      <xdr:colOff>609600</xdr:colOff>
      <xdr:row>1</xdr:row>
      <xdr:rowOff>0</xdr:rowOff>
    </xdr:to>
    <xdr:pic>
      <xdr:nvPicPr>
        <xdr:cNvPr id="2" name="Picture 8" descr="De Mãos Dad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22860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609600</xdr:colOff>
      <xdr:row>1</xdr:row>
      <xdr:rowOff>0</xdr:rowOff>
    </xdr:to>
    <xdr:pic>
      <xdr:nvPicPr>
        <xdr:cNvPr id="3" name="Picture 8" descr="De Mãos Dad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22860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609600</xdr:colOff>
      <xdr:row>1</xdr:row>
      <xdr:rowOff>0</xdr:rowOff>
    </xdr:from>
    <xdr:to>
      <xdr:col>8</xdr:col>
      <xdr:colOff>609600</xdr:colOff>
      <xdr:row>1</xdr:row>
      <xdr:rowOff>0</xdr:rowOff>
    </xdr:to>
    <xdr:pic>
      <xdr:nvPicPr>
        <xdr:cNvPr id="4" name="Picture 8" descr="De Mãos Dad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22860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4238625</xdr:colOff>
      <xdr:row>0</xdr:row>
      <xdr:rowOff>0</xdr:rowOff>
    </xdr:from>
    <xdr:to>
      <xdr:col>4</xdr:col>
      <xdr:colOff>742950</xdr:colOff>
      <xdr:row>3</xdr:row>
      <xdr:rowOff>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0"/>
          <a:ext cx="2133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247650</xdr:colOff>
      <xdr:row>0</xdr:row>
      <xdr:rowOff>0</xdr:rowOff>
    </xdr:from>
    <xdr:to>
      <xdr:col>11</xdr:col>
      <xdr:colOff>9525</xdr:colOff>
      <xdr:row>2</xdr:row>
      <xdr:rowOff>180975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0"/>
          <a:ext cx="2143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NDIAS\Desktop\ENGENHARIA%20GUARANT&#195;\PRA&#199;A%20DA%20CULTURA\PRA&#199;A%20DA%20CULTURA%20-%20CAIXA%20-%2003-2018\PLANILHA%20URBANIZA&#199;&#195;O%20PRA&#199;A%20DA%20CULTURA%2015-05-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55659\OneDrive\&#193;rea%20de%20Trabalho\DECORO%20CONSULTORIA%20E%20PROJETOS\02%20-%20CONTRATOS\011%20-%20NOVA%20MARIL&#194;NDIA%20-%20QUADRA%20BASQUETE%20STREERBALL\QUADRAS%20DE%20BASQUETE\OR&#199;AMENTO%20QUADRA%20BASQUETE%20-%20SEM%20DESONERA&#199;&#195;O%2020-07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orial de cálculo"/>
      <sheetName val="COMP. BDI (AQUISIÇÃO)"/>
      <sheetName val="QCI"/>
      <sheetName val="COMPOSIÇÕES"/>
      <sheetName val="Planilha"/>
      <sheetName val="COMP. BDI"/>
      <sheetName val="Resumo"/>
      <sheetName val="Cronogram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cargos"/>
      <sheetName val="COMP. BDI"/>
      <sheetName val="Memorial de cálculo"/>
      <sheetName val="COMPOSIÇÕES"/>
      <sheetName val="Planilha"/>
      <sheetName val="Resumo"/>
      <sheetName val="Cronograma"/>
    </sheetNames>
    <sheetDataSet>
      <sheetData sheetId="2">
        <row r="57">
          <cell r="D57" t="str">
            <v>TOTAL</v>
          </cell>
        </row>
      </sheetData>
      <sheetData sheetId="4">
        <row r="4">
          <cell r="A4" t="str">
            <v>OBRA:</v>
          </cell>
          <cell r="H4" t="str">
            <v>BDI:</v>
          </cell>
          <cell r="I4">
            <v>0.22877342476291962</v>
          </cell>
        </row>
        <row r="5">
          <cell r="A5" t="str">
            <v>ENDEREÇO:</v>
          </cell>
        </row>
        <row r="6">
          <cell r="A6" t="str">
            <v>ASSUNTO:</v>
          </cell>
        </row>
      </sheetData>
      <sheetData sheetId="5">
        <row r="1">
          <cell r="A1" t="str">
            <v>R. N. DIAS CONSULTORIA E PROJETOS – ME</v>
          </cell>
        </row>
        <row r="2">
          <cell r="A2" t="str">
            <v>CNPJ 40.600.695/0001-67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="60" zoomScalePageLayoutView="0" workbookViewId="0" topLeftCell="A1">
      <selection activeCell="L15" sqref="L15"/>
    </sheetView>
  </sheetViews>
  <sheetFormatPr defaultColWidth="9.140625" defaultRowHeight="12.75"/>
  <cols>
    <col min="1" max="1" width="9.8515625" style="62" bestFit="1" customWidth="1"/>
    <col min="2" max="2" width="44.00390625" style="62" bestFit="1" customWidth="1"/>
    <col min="3" max="3" width="15.140625" style="62" bestFit="1" customWidth="1"/>
    <col min="4" max="4" width="19.28125" style="62" bestFit="1" customWidth="1"/>
    <col min="5" max="16384" width="8.8515625" style="62" customWidth="1"/>
  </cols>
  <sheetData>
    <row r="1" spans="1:5" ht="34.5" customHeight="1">
      <c r="A1" s="432" t="str">
        <f>Planilha!B4</f>
        <v>CONSTRUÇÃO DE QUADRA DE BASQUETE STREETBALL, NO MUNICÍPIO DE JACIARA - MT</v>
      </c>
      <c r="B1" s="432"/>
      <c r="C1" s="432"/>
      <c r="D1" s="432"/>
      <c r="E1" s="104"/>
    </row>
    <row r="3" ht="14.25" thickBot="1"/>
    <row r="4" spans="1:4" ht="14.25" thickBot="1">
      <c r="A4" s="433" t="s">
        <v>114</v>
      </c>
      <c r="B4" s="434"/>
      <c r="C4" s="434"/>
      <c r="D4" s="435"/>
    </row>
    <row r="5" spans="1:4" ht="12.75" customHeight="1" thickBot="1">
      <c r="A5" s="436" t="s">
        <v>115</v>
      </c>
      <c r="B5" s="436" t="s">
        <v>116</v>
      </c>
      <c r="C5" s="438" t="s">
        <v>117</v>
      </c>
      <c r="D5" s="439"/>
    </row>
    <row r="6" spans="1:4" ht="14.25" thickBot="1">
      <c r="A6" s="437"/>
      <c r="B6" s="437"/>
      <c r="C6" s="105" t="s">
        <v>118</v>
      </c>
      <c r="D6" s="105" t="s">
        <v>119</v>
      </c>
    </row>
    <row r="7" spans="1:4" ht="14.25" thickBot="1">
      <c r="A7" s="427" t="s">
        <v>120</v>
      </c>
      <c r="B7" s="428"/>
      <c r="C7" s="428"/>
      <c r="D7" s="429"/>
    </row>
    <row r="8" spans="1:4" ht="14.25" thickBot="1">
      <c r="A8" s="106" t="s">
        <v>121</v>
      </c>
      <c r="B8" s="107" t="s">
        <v>122</v>
      </c>
      <c r="C8" s="108">
        <v>0.2</v>
      </c>
      <c r="D8" s="108">
        <v>0.2</v>
      </c>
    </row>
    <row r="9" spans="1:4" ht="14.25" thickBot="1">
      <c r="A9" s="106" t="s">
        <v>123</v>
      </c>
      <c r="B9" s="107" t="s">
        <v>124</v>
      </c>
      <c r="C9" s="108">
        <v>0.015</v>
      </c>
      <c r="D9" s="108">
        <v>0.015</v>
      </c>
    </row>
    <row r="10" spans="1:4" ht="14.25" thickBot="1">
      <c r="A10" s="106" t="s">
        <v>125</v>
      </c>
      <c r="B10" s="107" t="s">
        <v>126</v>
      </c>
      <c r="C10" s="108">
        <v>0.01</v>
      </c>
      <c r="D10" s="108">
        <v>0.01</v>
      </c>
    </row>
    <row r="11" spans="1:4" ht="14.25" thickBot="1">
      <c r="A11" s="106" t="s">
        <v>127</v>
      </c>
      <c r="B11" s="107" t="s">
        <v>128</v>
      </c>
      <c r="C11" s="108">
        <v>0.002</v>
      </c>
      <c r="D11" s="108">
        <v>0.002</v>
      </c>
    </row>
    <row r="12" spans="1:4" ht="14.25" thickBot="1">
      <c r="A12" s="106" t="s">
        <v>129</v>
      </c>
      <c r="B12" s="107" t="s">
        <v>130</v>
      </c>
      <c r="C12" s="108">
        <v>0.006</v>
      </c>
      <c r="D12" s="108">
        <v>0.006</v>
      </c>
    </row>
    <row r="13" spans="1:4" ht="14.25" thickBot="1">
      <c r="A13" s="106" t="s">
        <v>131</v>
      </c>
      <c r="B13" s="107" t="s">
        <v>132</v>
      </c>
      <c r="C13" s="108">
        <v>0.025</v>
      </c>
      <c r="D13" s="108">
        <v>0.025</v>
      </c>
    </row>
    <row r="14" spans="1:4" ht="14.25" thickBot="1">
      <c r="A14" s="106" t="s">
        <v>133</v>
      </c>
      <c r="B14" s="107" t="s">
        <v>134</v>
      </c>
      <c r="C14" s="108">
        <v>0.03</v>
      </c>
      <c r="D14" s="108">
        <v>0.03</v>
      </c>
    </row>
    <row r="15" spans="1:4" ht="14.25" thickBot="1">
      <c r="A15" s="106" t="s">
        <v>135</v>
      </c>
      <c r="B15" s="107" t="s">
        <v>136</v>
      </c>
      <c r="C15" s="108">
        <v>0.08</v>
      </c>
      <c r="D15" s="108">
        <v>0.08</v>
      </c>
    </row>
    <row r="16" spans="1:4" ht="14.25" thickBot="1">
      <c r="A16" s="106" t="s">
        <v>137</v>
      </c>
      <c r="B16" s="107" t="s">
        <v>138</v>
      </c>
      <c r="C16" s="108">
        <v>0</v>
      </c>
      <c r="D16" s="108">
        <v>0</v>
      </c>
    </row>
    <row r="17" spans="1:4" ht="14.25" thickBot="1">
      <c r="A17" s="109" t="s">
        <v>139</v>
      </c>
      <c r="B17" s="110" t="s">
        <v>13</v>
      </c>
      <c r="C17" s="111">
        <f>SUM(C8:C16)</f>
        <v>0.36800000000000005</v>
      </c>
      <c r="D17" s="111">
        <f>SUM(D8:D16)</f>
        <v>0.36800000000000005</v>
      </c>
    </row>
    <row r="18" spans="1:4" ht="14.25" thickBot="1">
      <c r="A18" s="427" t="s">
        <v>140</v>
      </c>
      <c r="B18" s="428"/>
      <c r="C18" s="428"/>
      <c r="D18" s="429"/>
    </row>
    <row r="19" spans="1:4" ht="14.25" thickBot="1">
      <c r="A19" s="106" t="s">
        <v>141</v>
      </c>
      <c r="B19" s="107" t="s">
        <v>142</v>
      </c>
      <c r="C19" s="108">
        <v>0.1777</v>
      </c>
      <c r="D19" s="112" t="s">
        <v>143</v>
      </c>
    </row>
    <row r="20" spans="1:4" ht="14.25" thickBot="1">
      <c r="A20" s="106" t="s">
        <v>144</v>
      </c>
      <c r="B20" s="107" t="s">
        <v>145</v>
      </c>
      <c r="C20" s="108">
        <v>0.0367</v>
      </c>
      <c r="D20" s="112" t="s">
        <v>143</v>
      </c>
    </row>
    <row r="21" spans="1:4" ht="14.25" thickBot="1">
      <c r="A21" s="106" t="s">
        <v>146</v>
      </c>
      <c r="B21" s="107" t="s">
        <v>147</v>
      </c>
      <c r="C21" s="108">
        <v>0.0087</v>
      </c>
      <c r="D21" s="108">
        <v>0.0067</v>
      </c>
    </row>
    <row r="22" spans="1:4" ht="14.25" thickBot="1">
      <c r="A22" s="106" t="s">
        <v>148</v>
      </c>
      <c r="B22" s="107" t="s">
        <v>149</v>
      </c>
      <c r="C22" s="108">
        <v>0.1085</v>
      </c>
      <c r="D22" s="108">
        <v>0.0833</v>
      </c>
    </row>
    <row r="23" spans="1:4" ht="14.25" thickBot="1">
      <c r="A23" s="106" t="s">
        <v>150</v>
      </c>
      <c r="B23" s="107" t="s">
        <v>151</v>
      </c>
      <c r="C23" s="108">
        <v>0.0007</v>
      </c>
      <c r="D23" s="108">
        <v>0.0006</v>
      </c>
    </row>
    <row r="24" spans="1:4" ht="14.25" thickBot="1">
      <c r="A24" s="106" t="s">
        <v>152</v>
      </c>
      <c r="B24" s="107" t="s">
        <v>153</v>
      </c>
      <c r="C24" s="108">
        <v>0.0072</v>
      </c>
      <c r="D24" s="108">
        <v>0.0056</v>
      </c>
    </row>
    <row r="25" spans="1:4" ht="14.25" thickBot="1">
      <c r="A25" s="106" t="s">
        <v>154</v>
      </c>
      <c r="B25" s="107" t="s">
        <v>155</v>
      </c>
      <c r="C25" s="108">
        <v>0.0115</v>
      </c>
      <c r="D25" s="112" t="s">
        <v>143</v>
      </c>
    </row>
    <row r="26" spans="1:4" ht="14.25" thickBot="1">
      <c r="A26" s="106" t="s">
        <v>156</v>
      </c>
      <c r="B26" s="107" t="s">
        <v>157</v>
      </c>
      <c r="C26" s="108">
        <v>0.0011</v>
      </c>
      <c r="D26" s="108">
        <v>0.0008</v>
      </c>
    </row>
    <row r="27" spans="1:4" ht="14.25" thickBot="1">
      <c r="A27" s="106" t="s">
        <v>158</v>
      </c>
      <c r="B27" s="107" t="s">
        <v>159</v>
      </c>
      <c r="C27" s="108">
        <v>0.102</v>
      </c>
      <c r="D27" s="108">
        <v>0.0783</v>
      </c>
    </row>
    <row r="28" spans="1:4" ht="14.25" thickBot="1">
      <c r="A28" s="106" t="s">
        <v>160</v>
      </c>
      <c r="B28" s="107" t="s">
        <v>161</v>
      </c>
      <c r="C28" s="108">
        <v>0.0003</v>
      </c>
      <c r="D28" s="108">
        <v>0.0003</v>
      </c>
    </row>
    <row r="29" spans="1:4" ht="14.25" thickBot="1">
      <c r="A29" s="109" t="s">
        <v>162</v>
      </c>
      <c r="B29" s="110" t="s">
        <v>13</v>
      </c>
      <c r="C29" s="111">
        <f>SUM(C19:C28)</f>
        <v>0.45439999999999997</v>
      </c>
      <c r="D29" s="111">
        <f>SUM(D19:D28)</f>
        <v>0.17559999999999998</v>
      </c>
    </row>
    <row r="30" spans="1:4" ht="14.25" thickBot="1">
      <c r="A30" s="427" t="s">
        <v>163</v>
      </c>
      <c r="B30" s="428"/>
      <c r="C30" s="428"/>
      <c r="D30" s="429"/>
    </row>
    <row r="31" spans="1:4" ht="14.25" thickBot="1">
      <c r="A31" s="106" t="s">
        <v>164</v>
      </c>
      <c r="B31" s="107" t="s">
        <v>165</v>
      </c>
      <c r="C31" s="108">
        <v>0.0592</v>
      </c>
      <c r="D31" s="108">
        <v>0.0455</v>
      </c>
    </row>
    <row r="32" spans="1:4" ht="14.25" thickBot="1">
      <c r="A32" s="106" t="s">
        <v>166</v>
      </c>
      <c r="B32" s="107" t="s">
        <v>167</v>
      </c>
      <c r="C32" s="108">
        <v>0.0014</v>
      </c>
      <c r="D32" s="108">
        <v>0.0011</v>
      </c>
    </row>
    <row r="33" spans="1:4" ht="14.25" thickBot="1">
      <c r="A33" s="106" t="s">
        <v>168</v>
      </c>
      <c r="B33" s="107" t="s">
        <v>169</v>
      </c>
      <c r="C33" s="108">
        <v>0.0332</v>
      </c>
      <c r="D33" s="108">
        <v>0.0255</v>
      </c>
    </row>
    <row r="34" spans="1:4" ht="14.25" thickBot="1">
      <c r="A34" s="106" t="s">
        <v>170</v>
      </c>
      <c r="B34" s="107" t="s">
        <v>171</v>
      </c>
      <c r="C34" s="108">
        <v>0.0367</v>
      </c>
      <c r="D34" s="108">
        <v>0.0282</v>
      </c>
    </row>
    <row r="35" spans="1:4" ht="14.25" thickBot="1">
      <c r="A35" s="106" t="s">
        <v>172</v>
      </c>
      <c r="B35" s="107" t="s">
        <v>173</v>
      </c>
      <c r="C35" s="108">
        <v>0.005</v>
      </c>
      <c r="D35" s="108">
        <v>0.0038</v>
      </c>
    </row>
    <row r="36" spans="1:4" ht="14.25" thickBot="1">
      <c r="A36" s="109" t="s">
        <v>174</v>
      </c>
      <c r="B36" s="110" t="s">
        <v>13</v>
      </c>
      <c r="C36" s="111">
        <f>SUM(C31:C35)</f>
        <v>0.1355</v>
      </c>
      <c r="D36" s="111">
        <f>SUM(D31:D35)</f>
        <v>0.1041</v>
      </c>
    </row>
    <row r="37" spans="1:4" ht="14.25" thickBot="1">
      <c r="A37" s="427" t="s">
        <v>175</v>
      </c>
      <c r="B37" s="428"/>
      <c r="C37" s="428"/>
      <c r="D37" s="429"/>
    </row>
    <row r="38" spans="1:4" ht="14.25" thickBot="1">
      <c r="A38" s="106" t="s">
        <v>176</v>
      </c>
      <c r="B38" s="107" t="s">
        <v>177</v>
      </c>
      <c r="C38" s="108">
        <v>0.1672</v>
      </c>
      <c r="D38" s="108">
        <v>0.0646</v>
      </c>
    </row>
    <row r="39" spans="1:4" ht="27.75" thickBot="1">
      <c r="A39" s="106" t="s">
        <v>178</v>
      </c>
      <c r="B39" s="107" t="s">
        <v>179</v>
      </c>
      <c r="C39" s="108">
        <v>0.0053</v>
      </c>
      <c r="D39" s="108">
        <v>0.004</v>
      </c>
    </row>
    <row r="40" spans="1:4" ht="14.25" thickBot="1">
      <c r="A40" s="109" t="s">
        <v>180</v>
      </c>
      <c r="B40" s="110" t="s">
        <v>13</v>
      </c>
      <c r="C40" s="111">
        <f>SUM(C38:C39)</f>
        <v>0.1725</v>
      </c>
      <c r="D40" s="111">
        <f>SUM(D38:D39)</f>
        <v>0.06860000000000001</v>
      </c>
    </row>
    <row r="41" spans="1:4" ht="14.25" thickBot="1">
      <c r="A41" s="430" t="s">
        <v>181</v>
      </c>
      <c r="B41" s="431"/>
      <c r="C41" s="113">
        <f>C40+C36+C29+C17</f>
        <v>1.1304</v>
      </c>
      <c r="D41" s="113">
        <f>D40+D36+D29+D17</f>
        <v>0.7163</v>
      </c>
    </row>
    <row r="42" ht="50.25" customHeight="1"/>
    <row r="44" ht="13.5">
      <c r="B44" s="50" t="str">
        <f>Planilha!C64</f>
        <v>ROGÉRIO NOGUEIRA DIAS</v>
      </c>
    </row>
    <row r="45" ht="13.5">
      <c r="B45" s="51" t="str">
        <f>Planilha!C65</f>
        <v>ARQUITETO E URBANISTA</v>
      </c>
    </row>
    <row r="46" ht="13.5">
      <c r="B46" s="51" t="str">
        <f>Planilha!C66</f>
        <v>CAU A76801-4</v>
      </c>
    </row>
  </sheetData>
  <sheetProtection/>
  <mergeCells count="10">
    <mergeCell ref="A30:D30"/>
    <mergeCell ref="A37:D37"/>
    <mergeCell ref="A41:B41"/>
    <mergeCell ref="A1:D1"/>
    <mergeCell ref="A4:D4"/>
    <mergeCell ref="A5:A6"/>
    <mergeCell ref="B5:B6"/>
    <mergeCell ref="C5:D5"/>
    <mergeCell ref="A7:D7"/>
    <mergeCell ref="A18:D18"/>
  </mergeCells>
  <printOptions/>
  <pageMargins left="0.984251968503937" right="0.984251968503937" top="0.984251968503937" bottom="0.3937007874015748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Normal="175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39.57421875" style="62" customWidth="1"/>
    <col min="2" max="2" width="22.7109375" style="62" customWidth="1"/>
    <col min="3" max="3" width="13.00390625" style="62" customWidth="1"/>
    <col min="4" max="16384" width="8.8515625" style="62" customWidth="1"/>
  </cols>
  <sheetData>
    <row r="1" spans="1:7" ht="18" customHeight="1">
      <c r="A1" s="440" t="str">
        <f>Planilha!A1</f>
        <v>R. N. DIAS CONSULTORIA E PROJETOS – ME</v>
      </c>
      <c r="B1" s="440"/>
      <c r="C1" s="440"/>
      <c r="D1" s="114"/>
      <c r="E1" s="114"/>
      <c r="F1" s="115"/>
      <c r="G1" s="115"/>
    </row>
    <row r="2" spans="1:7" ht="16.5">
      <c r="A2" s="441" t="str">
        <f>Planilha!A2</f>
        <v>CNPJ 40.600.695/0001-67</v>
      </c>
      <c r="B2" s="441"/>
      <c r="C2" s="441"/>
      <c r="D2" s="117"/>
      <c r="E2" s="117"/>
      <c r="F2" s="115"/>
      <c r="G2" s="115"/>
    </row>
    <row r="3" spans="1:7" ht="21" thickBot="1">
      <c r="A3" s="442"/>
      <c r="B3" s="442"/>
      <c r="C3" s="442"/>
      <c r="D3" s="118"/>
      <c r="E3" s="118"/>
      <c r="F3" s="118"/>
      <c r="G3" s="119"/>
    </row>
    <row r="4" spans="1:7" ht="37.5" customHeight="1" thickBot="1">
      <c r="A4" s="443" t="s">
        <v>68</v>
      </c>
      <c r="B4" s="444"/>
      <c r="C4" s="445"/>
      <c r="D4" s="120"/>
      <c r="E4" s="120"/>
      <c r="F4" s="121"/>
      <c r="G4" s="79"/>
    </row>
    <row r="5" spans="1:7" ht="20.25">
      <c r="A5" s="122"/>
      <c r="B5" s="123"/>
      <c r="C5" s="124"/>
      <c r="D5" s="120"/>
      <c r="E5" s="120"/>
      <c r="F5" s="121"/>
      <c r="G5" s="79"/>
    </row>
    <row r="6" spans="1:7" ht="13.5">
      <c r="A6" s="125"/>
      <c r="B6" s="126" t="s">
        <v>69</v>
      </c>
      <c r="C6" s="127">
        <v>44469</v>
      </c>
      <c r="D6" s="128"/>
      <c r="E6" s="128"/>
      <c r="F6" s="121"/>
      <c r="G6" s="79"/>
    </row>
    <row r="7" spans="1:7" ht="14.25" thickBot="1">
      <c r="A7" s="125"/>
      <c r="B7" s="129"/>
      <c r="C7" s="127"/>
      <c r="D7" s="128"/>
      <c r="E7" s="128"/>
      <c r="F7" s="121"/>
      <c r="G7" s="79"/>
    </row>
    <row r="8" spans="1:7" ht="15.75" customHeight="1" thickBot="1">
      <c r="A8" s="446" t="s">
        <v>70</v>
      </c>
      <c r="B8" s="447"/>
      <c r="C8" s="130" t="s">
        <v>6</v>
      </c>
      <c r="D8" s="128"/>
      <c r="E8" s="128"/>
      <c r="F8" s="121"/>
      <c r="G8" s="79"/>
    </row>
    <row r="9" spans="1:7" ht="13.5">
      <c r="A9" s="131" t="s">
        <v>71</v>
      </c>
      <c r="B9" s="132"/>
      <c r="C9" s="133">
        <v>0.04</v>
      </c>
      <c r="D9" s="134" t="s">
        <v>72</v>
      </c>
      <c r="E9" s="79"/>
      <c r="F9" s="79"/>
      <c r="G9" s="79"/>
    </row>
    <row r="10" spans="1:7" ht="13.5">
      <c r="A10" s="135" t="s">
        <v>73</v>
      </c>
      <c r="B10" s="136"/>
      <c r="C10" s="137">
        <v>0.0123</v>
      </c>
      <c r="D10" s="79"/>
      <c r="E10" s="79"/>
      <c r="F10" s="79"/>
      <c r="G10" s="79"/>
    </row>
    <row r="11" spans="1:7" ht="13.5">
      <c r="A11" s="135" t="s">
        <v>74</v>
      </c>
      <c r="B11" s="136"/>
      <c r="C11" s="137">
        <v>0.0127</v>
      </c>
      <c r="D11" s="79"/>
      <c r="E11" s="79"/>
      <c r="F11" s="79"/>
      <c r="G11" s="79"/>
    </row>
    <row r="12" spans="1:7" ht="14.25" thickBot="1">
      <c r="A12" s="138" t="s">
        <v>75</v>
      </c>
      <c r="B12" s="139"/>
      <c r="C12" s="140">
        <v>0.008</v>
      </c>
      <c r="D12" s="79"/>
      <c r="E12" s="79"/>
      <c r="F12" s="79"/>
      <c r="G12" s="79"/>
    </row>
    <row r="13" spans="1:7" ht="14.25" thickBot="1">
      <c r="A13" s="141"/>
      <c r="B13" s="142" t="s">
        <v>76</v>
      </c>
      <c r="C13" s="143">
        <f>SUM(C9:C12)</f>
        <v>0.07300000000000001</v>
      </c>
      <c r="D13" s="79"/>
      <c r="E13" s="79"/>
      <c r="F13" s="79"/>
      <c r="G13" s="79"/>
    </row>
    <row r="14" spans="1:7" ht="14.25" thickBot="1">
      <c r="A14" s="446" t="s">
        <v>77</v>
      </c>
      <c r="B14" s="447"/>
      <c r="C14" s="130" t="s">
        <v>6</v>
      </c>
      <c r="D14" s="79"/>
      <c r="E14" s="79"/>
      <c r="F14" s="79"/>
      <c r="G14" s="79"/>
    </row>
    <row r="15" spans="1:7" ht="14.25" thickBot="1">
      <c r="A15" s="135" t="s">
        <v>78</v>
      </c>
      <c r="B15" s="136"/>
      <c r="C15" s="137">
        <v>0.074</v>
      </c>
      <c r="D15" s="134" t="s">
        <v>72</v>
      </c>
      <c r="E15" s="79"/>
      <c r="F15" s="79"/>
      <c r="G15" s="79"/>
    </row>
    <row r="16" spans="1:7" ht="14.25" thickBot="1">
      <c r="A16" s="141"/>
      <c r="B16" s="142" t="s">
        <v>76</v>
      </c>
      <c r="C16" s="143">
        <f>SUM(C15)</f>
        <v>0.074</v>
      </c>
      <c r="D16" s="79"/>
      <c r="E16" s="79" t="s">
        <v>79</v>
      </c>
      <c r="F16" s="79"/>
      <c r="G16" s="79"/>
    </row>
    <row r="17" spans="1:7" ht="14.25" thickBot="1">
      <c r="A17" s="446"/>
      <c r="B17" s="447"/>
      <c r="C17" s="143"/>
      <c r="D17" s="79"/>
      <c r="E17" s="79" t="s">
        <v>80</v>
      </c>
      <c r="F17" s="79"/>
      <c r="G17" s="79"/>
    </row>
    <row r="18" spans="1:7" ht="14.25" thickBot="1">
      <c r="A18" s="446" t="s">
        <v>81</v>
      </c>
      <c r="B18" s="447"/>
      <c r="C18" s="130" t="s">
        <v>6</v>
      </c>
      <c r="D18" s="79"/>
      <c r="E18" s="79">
        <f>8.8-1.08-1.2</f>
        <v>6.5200000000000005</v>
      </c>
      <c r="F18" s="79"/>
      <c r="G18" s="79"/>
    </row>
    <row r="19" spans="1:7" ht="13.5">
      <c r="A19" s="135" t="s">
        <v>82</v>
      </c>
      <c r="B19" s="144"/>
      <c r="C19" s="137">
        <v>0.0065</v>
      </c>
      <c r="D19" s="79"/>
      <c r="E19" s="79"/>
      <c r="F19" s="79"/>
      <c r="G19" s="79"/>
    </row>
    <row r="20" spans="1:7" ht="13.5">
      <c r="A20" s="135" t="s">
        <v>83</v>
      </c>
      <c r="B20" s="144"/>
      <c r="C20" s="137">
        <v>0.03</v>
      </c>
      <c r="D20" s="79"/>
      <c r="E20" s="79"/>
      <c r="F20" s="79"/>
      <c r="G20" s="79"/>
    </row>
    <row r="21" spans="1:7" ht="14.25" thickBot="1">
      <c r="A21" s="135" t="s">
        <v>84</v>
      </c>
      <c r="B21" s="144"/>
      <c r="C21" s="145">
        <v>0.025</v>
      </c>
      <c r="D21" s="79"/>
      <c r="E21" s="146">
        <f>5%*40%</f>
        <v>0.020000000000000004</v>
      </c>
      <c r="F21" s="450" t="s">
        <v>85</v>
      </c>
      <c r="G21" s="450"/>
    </row>
    <row r="22" spans="1:7" ht="14.25" thickBot="1">
      <c r="A22" s="141"/>
      <c r="B22" s="142" t="s">
        <v>76</v>
      </c>
      <c r="C22" s="143">
        <f>SUM(C19:C21)</f>
        <v>0.0615</v>
      </c>
      <c r="D22" s="79"/>
      <c r="E22" s="146">
        <f>4%*50%</f>
        <v>0.02</v>
      </c>
      <c r="F22" s="79"/>
      <c r="G22" s="79"/>
    </row>
    <row r="23" spans="1:7" ht="14.25" thickBot="1">
      <c r="A23" s="141"/>
      <c r="B23" s="147"/>
      <c r="C23" s="148"/>
      <c r="D23" s="79"/>
      <c r="E23" s="79"/>
      <c r="F23" s="79"/>
      <c r="G23" s="79"/>
    </row>
    <row r="24" spans="1:7" ht="12.75">
      <c r="A24" s="451"/>
      <c r="B24" s="452"/>
      <c r="C24" s="149"/>
      <c r="D24" s="146">
        <f>(1+C9+C11+C12)*(1+C10)*(1+C15)</f>
        <v>1.15320385914</v>
      </c>
      <c r="E24" s="79"/>
      <c r="F24" s="79"/>
      <c r="G24" s="79"/>
    </row>
    <row r="25" spans="1:7" ht="13.5" thickBot="1">
      <c r="A25" s="150"/>
      <c r="B25" s="151" t="s">
        <v>86</v>
      </c>
      <c r="C25" s="152">
        <f>(D24/D25)-1</f>
        <v>0.22877342476291962</v>
      </c>
      <c r="D25" s="146">
        <f>(1-C22)</f>
        <v>0.9385</v>
      </c>
      <c r="E25" s="79"/>
      <c r="F25" s="79"/>
      <c r="G25" s="79"/>
    </row>
    <row r="28" ht="33" customHeight="1"/>
    <row r="30" spans="1:3" ht="13.5">
      <c r="A30" s="448" t="str">
        <f>Planilha!C64</f>
        <v>ROGÉRIO NOGUEIRA DIAS</v>
      </c>
      <c r="B30" s="448"/>
      <c r="C30" s="448"/>
    </row>
    <row r="31" spans="1:3" ht="13.5">
      <c r="A31" s="449" t="str">
        <f>Planilha!C65</f>
        <v>ARQUITETO E URBANISTA</v>
      </c>
      <c r="B31" s="449"/>
      <c r="C31" s="449"/>
    </row>
    <row r="32" spans="1:3" ht="13.5">
      <c r="A32" s="449" t="str">
        <f>Planilha!C66</f>
        <v>CAU A76801-4</v>
      </c>
      <c r="B32" s="449"/>
      <c r="C32" s="449"/>
    </row>
  </sheetData>
  <sheetProtection/>
  <mergeCells count="13">
    <mergeCell ref="A30:C30"/>
    <mergeCell ref="A31:C31"/>
    <mergeCell ref="A32:C32"/>
    <mergeCell ref="A17:B17"/>
    <mergeCell ref="A18:B18"/>
    <mergeCell ref="F21:G21"/>
    <mergeCell ref="A24:B24"/>
    <mergeCell ref="A1:C1"/>
    <mergeCell ref="A2:C2"/>
    <mergeCell ref="A3:C3"/>
    <mergeCell ref="A4:C4"/>
    <mergeCell ref="A8:B8"/>
    <mergeCell ref="A14:B14"/>
  </mergeCells>
  <printOptions/>
  <pageMargins left="0.984251968503937" right="0.5905511811023623" top="0.7874015748031497" bottom="0.7874015748031497" header="0.31496062992125984" footer="0.31496062992125984"/>
  <pageSetup horizontalDpi="600" verticalDpi="600" orientation="portrait" paperSize="9" scale="11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view="pageBreakPreview" zoomScale="130" zoomScaleNormal="115" zoomScaleSheetLayoutView="130" zoomScalePageLayoutView="0" workbookViewId="0" topLeftCell="A1">
      <selection activeCell="J15" sqref="J15"/>
    </sheetView>
  </sheetViews>
  <sheetFormatPr defaultColWidth="9.140625" defaultRowHeight="12.75"/>
  <cols>
    <col min="1" max="1" width="10.421875" style="63" bestFit="1" customWidth="1"/>
    <col min="2" max="2" width="71.421875" style="62" customWidth="1"/>
    <col min="3" max="3" width="9.28125" style="66" bestFit="1" customWidth="1"/>
    <col min="4" max="4" width="7.7109375" style="67" bestFit="1" customWidth="1"/>
    <col min="5" max="5" width="9.140625" style="62" hidden="1" customWidth="1"/>
    <col min="6" max="6" width="9.140625" style="62" customWidth="1"/>
    <col min="7" max="7" width="9.28125" style="62" bestFit="1" customWidth="1"/>
    <col min="8" max="8" width="9.7109375" style="62" bestFit="1" customWidth="1"/>
    <col min="9" max="9" width="10.7109375" style="62" bestFit="1" customWidth="1"/>
    <col min="10" max="10" width="9.140625" style="62" customWidth="1"/>
    <col min="11" max="11" width="9.28125" style="62" bestFit="1" customWidth="1"/>
    <col min="12" max="16384" width="9.140625" style="62" customWidth="1"/>
  </cols>
  <sheetData>
    <row r="1" spans="1:6" s="60" customFormat="1" ht="23.25">
      <c r="A1" s="454" t="str">
        <f>Planilha!A1</f>
        <v>R. N. DIAS CONSULTORIA E PROJETOS – ME</v>
      </c>
      <c r="B1" s="454"/>
      <c r="C1" s="454"/>
      <c r="D1" s="454"/>
      <c r="E1" s="59"/>
      <c r="F1" s="59"/>
    </row>
    <row r="2" spans="1:6" ht="15.75">
      <c r="A2" s="456" t="str">
        <f>Planilha!A2</f>
        <v>CNPJ 40.600.695/0001-67</v>
      </c>
      <c r="B2" s="456"/>
      <c r="C2" s="456"/>
      <c r="D2" s="456"/>
      <c r="E2" s="61"/>
      <c r="F2" s="61"/>
    </row>
    <row r="3" spans="2:6" ht="13.5" thickBot="1">
      <c r="B3" s="455"/>
      <c r="C3" s="455"/>
      <c r="D3" s="455"/>
      <c r="E3" s="455"/>
      <c r="F3" s="455"/>
    </row>
    <row r="4" spans="1:11" ht="14.25" thickBot="1">
      <c r="A4" s="457" t="s">
        <v>49</v>
      </c>
      <c r="B4" s="458"/>
      <c r="C4" s="458"/>
      <c r="D4" s="459"/>
      <c r="E4" s="64"/>
      <c r="F4" s="65"/>
      <c r="G4" s="65"/>
      <c r="H4" s="65"/>
      <c r="I4" s="65"/>
      <c r="J4" s="65"/>
      <c r="K4" s="65"/>
    </row>
    <row r="5" ht="14.25" thickBot="1"/>
    <row r="6" spans="1:11" ht="14.25" thickBot="1">
      <c r="A6" s="457" t="str">
        <f>Resumo!C4</f>
        <v>CONSTRUÇÃO DE QUADRA DE BASQUETE STREETBALL, NO MUNICÍPIO DE JACIARA - MT</v>
      </c>
      <c r="B6" s="458"/>
      <c r="C6" s="458"/>
      <c r="D6" s="459"/>
      <c r="E6" s="65"/>
      <c r="F6" s="65"/>
      <c r="G6" s="65"/>
      <c r="H6" s="65"/>
      <c r="I6" s="65"/>
      <c r="J6" s="65"/>
      <c r="K6" s="65"/>
    </row>
    <row r="7" spans="1:4" ht="13.5">
      <c r="A7" s="68"/>
      <c r="B7" s="69"/>
      <c r="C7" s="70"/>
      <c r="D7" s="69"/>
    </row>
    <row r="8" spans="1:4" ht="13.5">
      <c r="A8" s="68"/>
      <c r="B8" s="453" t="str">
        <f>Planilha!B10</f>
        <v>CONSTRUÇÃO DE QUADRA DE BASQUETE</v>
      </c>
      <c r="C8" s="453"/>
      <c r="D8" s="453"/>
    </row>
    <row r="9" spans="1:4" ht="13.5">
      <c r="A9" s="72"/>
      <c r="B9" s="73"/>
      <c r="C9" s="74"/>
      <c r="D9" s="75"/>
    </row>
    <row r="10" spans="1:4" s="79" customFormat="1" ht="13.5">
      <c r="A10" s="76" t="s">
        <v>50</v>
      </c>
      <c r="B10" s="56" t="s">
        <v>57</v>
      </c>
      <c r="C10" s="77" t="s">
        <v>52</v>
      </c>
      <c r="D10" s="78" t="s">
        <v>44</v>
      </c>
    </row>
    <row r="11" spans="1:8" s="79" customFormat="1" ht="13.5">
      <c r="A11" s="76" t="s">
        <v>51</v>
      </c>
      <c r="B11" s="82" t="s">
        <v>215</v>
      </c>
      <c r="C11" s="57" t="s">
        <v>29</v>
      </c>
      <c r="D11" s="58">
        <f>18.1+18.1+14.25+14.25</f>
        <v>64.7</v>
      </c>
      <c r="H11" s="82">
        <f>26.15*18</f>
        <v>470.7</v>
      </c>
    </row>
    <row r="12" spans="1:4" s="79" customFormat="1" ht="13.5">
      <c r="A12" s="80"/>
      <c r="B12" s="81"/>
      <c r="C12" s="81"/>
      <c r="D12" s="81"/>
    </row>
    <row r="13" spans="1:4" s="79" customFormat="1" ht="27">
      <c r="A13" s="76" t="s">
        <v>50</v>
      </c>
      <c r="B13" s="56" t="str">
        <f>Planilha!C15</f>
        <v>COMPACTAÇÃO MECÂNICA DE SOLO PARA EXECUÇÃO DE RADIER, COM COMPACTADOR DE SOLOS A PERCUSSÃO. AF_09/2017</v>
      </c>
      <c r="C13" s="77" t="s">
        <v>52</v>
      </c>
      <c r="D13" s="78" t="s">
        <v>44</v>
      </c>
    </row>
    <row r="14" spans="1:8" s="79" customFormat="1" ht="13.5">
      <c r="A14" s="76" t="s">
        <v>51</v>
      </c>
      <c r="B14" s="56" t="s">
        <v>308</v>
      </c>
      <c r="C14" s="57" t="s">
        <v>27</v>
      </c>
      <c r="D14" s="58">
        <f>TRUNC((18.1*14.1),2)+102.09</f>
        <v>357.3</v>
      </c>
      <c r="H14" s="79">
        <f>470.7*0.03</f>
        <v>14.120999999999999</v>
      </c>
    </row>
    <row r="15" spans="1:4" s="79" customFormat="1" ht="13.5">
      <c r="A15" s="80"/>
      <c r="B15" s="81"/>
      <c r="C15" s="81"/>
      <c r="D15" s="83"/>
    </row>
    <row r="16" spans="1:4" s="88" customFormat="1" ht="27">
      <c r="A16" s="84" t="s">
        <v>50</v>
      </c>
      <c r="B16" s="85" t="str">
        <f>Planilha!C16</f>
        <v>EXECUÇÃO DE PASSEIO (CALÇADA) OU PISO DE CONCRETO COM CONCRETO MOLDADO IN LOCO, FEITO EM OBRA, ACABAMENTO CONVENCIONAL, NÃO ARMADO. AF_07/20</v>
      </c>
      <c r="C16" s="86" t="s">
        <v>52</v>
      </c>
      <c r="D16" s="87" t="s">
        <v>44</v>
      </c>
    </row>
    <row r="17" spans="1:8" s="88" customFormat="1" ht="13.5">
      <c r="A17" s="84" t="s">
        <v>51</v>
      </c>
      <c r="B17" s="85" t="s">
        <v>309</v>
      </c>
      <c r="C17" s="89" t="s">
        <v>30</v>
      </c>
      <c r="D17" s="90">
        <f>TRUNC((102.09*0.06),2)</f>
        <v>6.12</v>
      </c>
      <c r="H17" s="88">
        <f>470.7*0.03</f>
        <v>14.120999999999999</v>
      </c>
    </row>
    <row r="18" spans="1:4" s="79" customFormat="1" ht="13.5">
      <c r="A18" s="80"/>
      <c r="B18" s="81"/>
      <c r="C18" s="81"/>
      <c r="D18" s="83"/>
    </row>
    <row r="19" spans="1:4" s="79" customFormat="1" ht="13.5">
      <c r="A19" s="76" t="s">
        <v>50</v>
      </c>
      <c r="B19" s="56" t="s">
        <v>58</v>
      </c>
      <c r="C19" s="77" t="s">
        <v>52</v>
      </c>
      <c r="D19" s="78" t="s">
        <v>44</v>
      </c>
    </row>
    <row r="20" spans="1:8" s="79" customFormat="1" ht="13.5">
      <c r="A20" s="76" t="s">
        <v>51</v>
      </c>
      <c r="B20" s="56" t="s">
        <v>218</v>
      </c>
      <c r="C20" s="57" t="s">
        <v>30</v>
      </c>
      <c r="D20" s="58">
        <f>TRUNC((255.21*0.03),2)</f>
        <v>7.65</v>
      </c>
      <c r="H20" s="79">
        <f>537.6*0.03</f>
        <v>16.128</v>
      </c>
    </row>
    <row r="21" spans="1:4" s="79" customFormat="1" ht="13.5">
      <c r="A21" s="80"/>
      <c r="B21" s="91"/>
      <c r="C21" s="92"/>
      <c r="D21" s="93"/>
    </row>
    <row r="22" spans="1:4" s="79" customFormat="1" ht="13.5">
      <c r="A22" s="76" t="s">
        <v>50</v>
      </c>
      <c r="B22" s="56" t="s">
        <v>59</v>
      </c>
      <c r="C22" s="77" t="s">
        <v>52</v>
      </c>
      <c r="D22" s="78" t="s">
        <v>44</v>
      </c>
    </row>
    <row r="23" spans="1:8" s="79" customFormat="1" ht="13.5">
      <c r="A23" s="76" t="s">
        <v>51</v>
      </c>
      <c r="B23" s="82" t="s">
        <v>219</v>
      </c>
      <c r="C23" s="57" t="s">
        <v>27</v>
      </c>
      <c r="D23" s="58">
        <f>TRUNC((18.1*2+14.1*2)*0.1)</f>
        <v>6</v>
      </c>
      <c r="H23" s="94">
        <f>(26.15*2+18*2)*0.1</f>
        <v>8.83</v>
      </c>
    </row>
    <row r="24" spans="1:4" s="79" customFormat="1" ht="13.5">
      <c r="A24" s="80"/>
      <c r="B24" s="91"/>
      <c r="C24" s="92"/>
      <c r="D24" s="93"/>
    </row>
    <row r="25" spans="1:4" s="79" customFormat="1" ht="26.25" customHeight="1">
      <c r="A25" s="76" t="s">
        <v>50</v>
      </c>
      <c r="B25" s="56" t="str">
        <f>Planilha!C19</f>
        <v>EXECUÇÃO DE PASSEIO (CALÇADA) OU PISO DE CONCRETO COM CONCRETO MOLDADO IN LOCO, USINADO, ACABAMENTO CONVENCIONAL, ESPESSURA 8 CM, ARMADO. AF_07/2016</v>
      </c>
      <c r="C25" s="77" t="s">
        <v>52</v>
      </c>
      <c r="D25" s="78" t="s">
        <v>44</v>
      </c>
    </row>
    <row r="26" spans="1:8" s="79" customFormat="1" ht="13.5">
      <c r="A26" s="76" t="s">
        <v>51</v>
      </c>
      <c r="B26" s="56" t="s">
        <v>216</v>
      </c>
      <c r="C26" s="57" t="s">
        <v>27</v>
      </c>
      <c r="D26" s="58">
        <f>TRUNC((18.1*14.1),2)</f>
        <v>255.21</v>
      </c>
      <c r="H26" s="79">
        <f>470.7*0.08</f>
        <v>37.656</v>
      </c>
    </row>
    <row r="27" spans="1:4" s="79" customFormat="1" ht="13.5">
      <c r="A27" s="80"/>
      <c r="B27" s="91"/>
      <c r="C27" s="92"/>
      <c r="D27" s="93"/>
    </row>
    <row r="28" spans="1:4" s="79" customFormat="1" ht="13.5">
      <c r="A28" s="76" t="s">
        <v>50</v>
      </c>
      <c r="B28" s="56" t="str">
        <f>Planilha!C20</f>
        <v>TRATAMENTO EM  CONCRETO COM ESTUQUE E LIXAMENTO</v>
      </c>
      <c r="C28" s="77" t="s">
        <v>52</v>
      </c>
      <c r="D28" s="78" t="s">
        <v>44</v>
      </c>
    </row>
    <row r="29" spans="1:8" ht="13.5">
      <c r="A29" s="76" t="s">
        <v>51</v>
      </c>
      <c r="B29" s="56" t="str">
        <f>B26</f>
        <v>18,10 * 14,10m²</v>
      </c>
      <c r="C29" s="57" t="s">
        <v>27</v>
      </c>
      <c r="D29" s="58">
        <f>D26</f>
        <v>255.21</v>
      </c>
      <c r="H29" s="62">
        <f>17.95*29.95</f>
        <v>537.6025</v>
      </c>
    </row>
    <row r="30" spans="1:4" ht="13.5">
      <c r="A30" s="68"/>
      <c r="B30" s="453"/>
      <c r="C30" s="453"/>
      <c r="D30" s="453"/>
    </row>
    <row r="31" spans="1:4" ht="13.5">
      <c r="A31" s="76" t="s">
        <v>50</v>
      </c>
      <c r="B31" s="56" t="s">
        <v>60</v>
      </c>
      <c r="C31" s="77" t="s">
        <v>52</v>
      </c>
      <c r="D31" s="78" t="s">
        <v>44</v>
      </c>
    </row>
    <row r="32" spans="1:4" ht="13.5">
      <c r="A32" s="76" t="s">
        <v>51</v>
      </c>
      <c r="B32" s="56" t="str">
        <f>B29</f>
        <v>18,10 * 14,10m²</v>
      </c>
      <c r="C32" s="57" t="s">
        <v>27</v>
      </c>
      <c r="D32" s="58">
        <f>D29</f>
        <v>255.21</v>
      </c>
    </row>
    <row r="33" spans="1:4" ht="13.5">
      <c r="A33" s="68"/>
      <c r="B33" s="95"/>
      <c r="C33" s="95"/>
      <c r="D33" s="96"/>
    </row>
    <row r="34" spans="1:4" ht="13.5">
      <c r="A34" s="76" t="s">
        <v>50</v>
      </c>
      <c r="B34" s="56" t="s">
        <v>61</v>
      </c>
      <c r="C34" s="77" t="s">
        <v>52</v>
      </c>
      <c r="D34" s="78" t="s">
        <v>44</v>
      </c>
    </row>
    <row r="35" spans="1:11" ht="13.5">
      <c r="A35" s="76" t="s">
        <v>51</v>
      </c>
      <c r="B35" s="97" t="s">
        <v>228</v>
      </c>
      <c r="C35" s="57" t="s">
        <v>29</v>
      </c>
      <c r="D35" s="58">
        <f>(0.4*4)+(0.1*6)+52.4+20.43+3.02+3.02+16.65+5.42</f>
        <v>103.14</v>
      </c>
      <c r="H35" s="62">
        <f>(8.31*4+2.67*2+7.75*4+2.67*52+8.31*2+28.02*2+16*2)+(9*5+9*4)</f>
        <v>394.08000000000004</v>
      </c>
      <c r="I35" s="62">
        <f>(0.16*2)+(15.9*3)+(5.94*2)+(28.02*2)+(24.14*2)+(6.22*4)+(0.11*12)+(0.42*4)+(3.75*2)+(6*2)+(8.9*5)+(18*2)+(0.15*4)+(15.86*3)+(28.02*2)+(9*4)+(19.29*2)+(8.31*2)+(0.71*4)+(0.11*12)</f>
        <v>491.68</v>
      </c>
      <c r="K35" s="62">
        <f>(8.31*4+2.67*2+7.75*4+2.67*52+8.31*2+28.02*2+16*2)+(9*5+9*4)</f>
        <v>394.08000000000004</v>
      </c>
    </row>
    <row r="36" spans="1:4" ht="13.5">
      <c r="A36" s="68"/>
      <c r="B36" s="95"/>
      <c r="C36" s="95"/>
      <c r="D36" s="96"/>
    </row>
    <row r="37" spans="1:4" ht="13.5">
      <c r="A37" s="76" t="s">
        <v>50</v>
      </c>
      <c r="B37" s="56" t="str">
        <f>Planilha!C23</f>
        <v>PLANTIO DE GRAMA EM PLACAS. AF_05/2018</v>
      </c>
      <c r="C37" s="77" t="s">
        <v>52</v>
      </c>
      <c r="D37" s="87" t="s">
        <v>44</v>
      </c>
    </row>
    <row r="38" spans="1:11" ht="13.5">
      <c r="A38" s="76" t="s">
        <v>51</v>
      </c>
      <c r="B38" s="98" t="s">
        <v>310</v>
      </c>
      <c r="C38" s="57" t="s">
        <v>27</v>
      </c>
      <c r="D38" s="90">
        <v>291.5</v>
      </c>
      <c r="H38" s="62">
        <f>560.39+105.75</f>
        <v>666.14</v>
      </c>
      <c r="K38" s="62">
        <f>(8.31*4+2.67*2+7.75*4+2.67*52+8.31*2+28.02*2+16*2)+(9*5+9*4)</f>
        <v>394.08000000000004</v>
      </c>
    </row>
    <row r="39" spans="1:4" ht="13.5">
      <c r="A39" s="68"/>
      <c r="B39" s="95"/>
      <c r="C39" s="95"/>
      <c r="D39" s="95"/>
    </row>
    <row r="40" spans="1:4" ht="13.5">
      <c r="A40" s="76" t="s">
        <v>50</v>
      </c>
      <c r="B40" s="56" t="e">
        <f>Planilha!#REF!</f>
        <v>#REF!</v>
      </c>
      <c r="C40" s="77" t="s">
        <v>52</v>
      </c>
      <c r="D40" s="78" t="s">
        <v>44</v>
      </c>
    </row>
    <row r="41" spans="1:11" ht="13.5">
      <c r="A41" s="76" t="s">
        <v>51</v>
      </c>
      <c r="B41" s="98" t="s">
        <v>311</v>
      </c>
      <c r="C41" s="57" t="s">
        <v>27</v>
      </c>
      <c r="D41" s="90">
        <f>TRUNC((291.5*0.05),2)</f>
        <v>14.57</v>
      </c>
      <c r="H41" s="62">
        <f>560.39+105.75</f>
        <v>666.14</v>
      </c>
      <c r="K41" s="62">
        <f>(8.31*4+2.67*2+7.75*4+2.67*52+8.31*2+28.02*2+16*2)+(9*5+9*4)</f>
        <v>394.08000000000004</v>
      </c>
    </row>
    <row r="42" spans="1:4" ht="13.5">
      <c r="A42" s="68"/>
      <c r="B42" s="95"/>
      <c r="C42" s="95"/>
      <c r="D42" s="96"/>
    </row>
    <row r="43" spans="1:4" ht="13.5">
      <c r="A43" s="76" t="s">
        <v>50</v>
      </c>
      <c r="B43" s="56" t="str">
        <f>Planilha!C24</f>
        <v>PLANTIO DE PALMEIRA COM ALTURA DE MUDA MENOR OU IGUAL A 2,00 M. AF_05/2018</v>
      </c>
      <c r="C43" s="77" t="s">
        <v>52</v>
      </c>
      <c r="D43" s="87" t="s">
        <v>44</v>
      </c>
    </row>
    <row r="44" spans="1:11" ht="13.5">
      <c r="A44" s="76" t="s">
        <v>51</v>
      </c>
      <c r="B44" s="98" t="s">
        <v>312</v>
      </c>
      <c r="C44" s="57" t="s">
        <v>313</v>
      </c>
      <c r="D44" s="90">
        <v>6</v>
      </c>
      <c r="H44" s="62">
        <f>560.39+105.75</f>
        <v>666.14</v>
      </c>
      <c r="K44" s="62">
        <f>(8.31*4+2.67*2+7.75*4+2.67*52+8.31*2+28.02*2+16*2)+(9*5+9*4)</f>
        <v>394.08000000000004</v>
      </c>
    </row>
    <row r="45" spans="1:4" ht="13.5">
      <c r="A45" s="68"/>
      <c r="B45" s="95"/>
      <c r="C45" s="95"/>
      <c r="D45" s="96"/>
    </row>
    <row r="46" spans="1:4" ht="13.5">
      <c r="A46" s="76" t="s">
        <v>50</v>
      </c>
      <c r="B46" s="56" t="s">
        <v>94</v>
      </c>
      <c r="C46" s="77" t="s">
        <v>52</v>
      </c>
      <c r="D46" s="78" t="s">
        <v>44</v>
      </c>
    </row>
    <row r="47" spans="1:8" ht="13.5">
      <c r="A47" s="76" t="s">
        <v>51</v>
      </c>
      <c r="B47" s="99" t="s">
        <v>227</v>
      </c>
      <c r="C47" s="57" t="s">
        <v>29</v>
      </c>
      <c r="D47" s="58">
        <v>13</v>
      </c>
      <c r="H47" s="62">
        <f>22*0.5+22*1</f>
        <v>33</v>
      </c>
    </row>
    <row r="48" spans="1:4" ht="13.5">
      <c r="A48" s="68"/>
      <c r="B48" s="95"/>
      <c r="C48" s="95"/>
      <c r="D48" s="96"/>
    </row>
    <row r="49" spans="1:4" ht="13.5">
      <c r="A49" s="76" t="s">
        <v>50</v>
      </c>
      <c r="B49" s="56" t="s">
        <v>99</v>
      </c>
      <c r="C49" s="77" t="s">
        <v>52</v>
      </c>
      <c r="D49" s="78" t="s">
        <v>44</v>
      </c>
    </row>
    <row r="50" spans="1:8" ht="13.5">
      <c r="A50" s="76" t="s">
        <v>51</v>
      </c>
      <c r="B50" s="99">
        <v>12</v>
      </c>
      <c r="C50" s="57" t="s">
        <v>31</v>
      </c>
      <c r="D50" s="58">
        <v>12</v>
      </c>
      <c r="H50" s="62">
        <f>10.16+51.03</f>
        <v>61.19</v>
      </c>
    </row>
    <row r="51" spans="1:4" ht="13.5">
      <c r="A51" s="68"/>
      <c r="B51" s="95"/>
      <c r="C51" s="95"/>
      <c r="D51" s="95"/>
    </row>
    <row r="52" spans="1:4" ht="13.5">
      <c r="A52" s="76" t="s">
        <v>50</v>
      </c>
      <c r="B52" s="56" t="s">
        <v>100</v>
      </c>
      <c r="C52" s="77" t="s">
        <v>52</v>
      </c>
      <c r="D52" s="78" t="s">
        <v>44</v>
      </c>
    </row>
    <row r="53" spans="1:8" ht="13.5">
      <c r="A53" s="76" t="s">
        <v>51</v>
      </c>
      <c r="B53" s="99">
        <v>30.15</v>
      </c>
      <c r="C53" s="57" t="s">
        <v>31</v>
      </c>
      <c r="D53" s="58">
        <v>30.15</v>
      </c>
      <c r="H53" s="62">
        <f>23.89+20.32</f>
        <v>44.21</v>
      </c>
    </row>
    <row r="54" spans="1:4" ht="13.5">
      <c r="A54" s="68"/>
      <c r="B54" s="95"/>
      <c r="C54" s="95"/>
      <c r="D54" s="96"/>
    </row>
    <row r="55" spans="1:4" ht="13.5">
      <c r="A55" s="76" t="s">
        <v>50</v>
      </c>
      <c r="B55" s="56" t="s">
        <v>108</v>
      </c>
      <c r="C55" s="77" t="s">
        <v>52</v>
      </c>
      <c r="D55" s="78" t="s">
        <v>44</v>
      </c>
    </row>
    <row r="56" spans="1:8" ht="13.5">
      <c r="A56" s="76" t="s">
        <v>51</v>
      </c>
      <c r="B56" s="99" t="s">
        <v>226</v>
      </c>
      <c r="C56" s="57" t="s">
        <v>30</v>
      </c>
      <c r="D56" s="58">
        <v>0.19</v>
      </c>
      <c r="H56" s="62">
        <f>(5+5+18.4)*0.05*0.14</f>
        <v>0.1988</v>
      </c>
    </row>
    <row r="57" spans="1:4" ht="13.5">
      <c r="A57" s="68"/>
      <c r="B57" s="95"/>
      <c r="C57" s="95"/>
      <c r="D57" s="96"/>
    </row>
    <row r="58" spans="1:4" ht="13.5">
      <c r="A58" s="76" t="s">
        <v>50</v>
      </c>
      <c r="B58" s="56" t="s">
        <v>109</v>
      </c>
      <c r="C58" s="77" t="s">
        <v>52</v>
      </c>
      <c r="D58" s="78" t="s">
        <v>44</v>
      </c>
    </row>
    <row r="59" spans="1:8" ht="13.5">
      <c r="A59" s="76" t="s">
        <v>51</v>
      </c>
      <c r="B59" s="99" t="s">
        <v>225</v>
      </c>
      <c r="C59" s="57" t="s">
        <v>27</v>
      </c>
      <c r="D59" s="58">
        <v>3.97</v>
      </c>
      <c r="H59" s="62">
        <f>(5+5+18.4)*0.14</f>
        <v>3.976</v>
      </c>
    </row>
    <row r="60" spans="1:4" ht="13.5">
      <c r="A60" s="68"/>
      <c r="B60" s="95"/>
      <c r="C60" s="95"/>
      <c r="D60" s="96"/>
    </row>
    <row r="61" spans="1:4" ht="13.5">
      <c r="A61" s="76" t="s">
        <v>50</v>
      </c>
      <c r="B61" s="56" t="s">
        <v>110</v>
      </c>
      <c r="C61" s="77" t="s">
        <v>52</v>
      </c>
      <c r="D61" s="78" t="s">
        <v>44</v>
      </c>
    </row>
    <row r="62" spans="1:8" ht="13.5">
      <c r="A62" s="76" t="s">
        <v>51</v>
      </c>
      <c r="B62" s="99" t="s">
        <v>224</v>
      </c>
      <c r="C62" s="57" t="s">
        <v>30</v>
      </c>
      <c r="D62" s="58">
        <v>0.19</v>
      </c>
      <c r="H62" s="62">
        <f>(5+5+18.4)*0.14*0.05</f>
        <v>0.1988</v>
      </c>
    </row>
    <row r="63" spans="1:4" ht="13.5">
      <c r="A63" s="68"/>
      <c r="B63" s="95"/>
      <c r="C63" s="95"/>
      <c r="D63" s="96"/>
    </row>
    <row r="64" spans="1:4" ht="13.5">
      <c r="A64" s="76" t="s">
        <v>50</v>
      </c>
      <c r="B64" s="56" t="s">
        <v>106</v>
      </c>
      <c r="C64" s="77" t="s">
        <v>52</v>
      </c>
      <c r="D64" s="78" t="s">
        <v>44</v>
      </c>
    </row>
    <row r="65" spans="1:8" ht="13.5">
      <c r="A65" s="76" t="s">
        <v>51</v>
      </c>
      <c r="B65" s="99" t="s">
        <v>223</v>
      </c>
      <c r="C65" s="57" t="s">
        <v>29</v>
      </c>
      <c r="D65" s="58">
        <f>5+5+18.4</f>
        <v>28.4</v>
      </c>
      <c r="H65" s="62">
        <f>30.25*2+18.25*2-2.3</f>
        <v>94.7</v>
      </c>
    </row>
    <row r="66" spans="1:4" ht="13.5">
      <c r="A66" s="68"/>
      <c r="B66" s="95"/>
      <c r="C66" s="95"/>
      <c r="D66" s="96"/>
    </row>
    <row r="67" spans="1:4" ht="13.5">
      <c r="A67" s="76" t="s">
        <v>50</v>
      </c>
      <c r="B67" s="56" t="s">
        <v>62</v>
      </c>
      <c r="C67" s="77" t="s">
        <v>52</v>
      </c>
      <c r="D67" s="78" t="s">
        <v>44</v>
      </c>
    </row>
    <row r="68" spans="1:8" ht="13.5">
      <c r="A68" s="76" t="s">
        <v>51</v>
      </c>
      <c r="B68" s="99" t="s">
        <v>222</v>
      </c>
      <c r="C68" s="57" t="s">
        <v>27</v>
      </c>
      <c r="D68" s="58">
        <f>TRUNC((16.93+16.93+106.49),2)</f>
        <v>140.35</v>
      </c>
      <c r="H68" s="100">
        <f>(26.15*2+18*2)*6</f>
        <v>529.8</v>
      </c>
    </row>
    <row r="69" spans="1:4" ht="13.5">
      <c r="A69" s="68"/>
      <c r="B69" s="95"/>
      <c r="C69" s="95"/>
      <c r="D69" s="96"/>
    </row>
    <row r="70" spans="1:4" ht="27">
      <c r="A70" s="76" t="s">
        <v>50</v>
      </c>
      <c r="B70" s="56" t="str">
        <f>Planilha!C56</f>
        <v>TABELA DE BASQUETE COM ESTRUTURA METÁLICA E REQUADRO EM VIDRO, CONFORME ESPECIFICAÇÕES DO PROJETO - FORNECIMENTO E INSTALAÇÃO</v>
      </c>
      <c r="C70" s="77" t="s">
        <v>52</v>
      </c>
      <c r="D70" s="78" t="s">
        <v>44</v>
      </c>
    </row>
    <row r="71" spans="1:4" ht="13.5">
      <c r="A71" s="76" t="s">
        <v>51</v>
      </c>
      <c r="B71" s="99" t="s">
        <v>243</v>
      </c>
      <c r="C71" s="57" t="s">
        <v>36</v>
      </c>
      <c r="D71" s="58">
        <v>1</v>
      </c>
    </row>
    <row r="72" spans="1:4" ht="13.5">
      <c r="A72" s="68"/>
      <c r="B72" s="95"/>
      <c r="C72" s="95"/>
      <c r="D72" s="96"/>
    </row>
    <row r="73" spans="1:4" ht="13.5">
      <c r="A73" s="76" t="s">
        <v>50</v>
      </c>
      <c r="B73" s="101" t="s">
        <v>281</v>
      </c>
      <c r="C73" s="77" t="s">
        <v>52</v>
      </c>
      <c r="D73" s="78" t="s">
        <v>44</v>
      </c>
    </row>
    <row r="74" spans="1:4" ht="13.5">
      <c r="A74" s="76" t="s">
        <v>51</v>
      </c>
      <c r="B74" s="101" t="s">
        <v>260</v>
      </c>
      <c r="C74" s="57" t="s">
        <v>30</v>
      </c>
      <c r="D74" s="102">
        <f>TRUNC((1.5*1*0.55),2)</f>
        <v>0.82</v>
      </c>
    </row>
    <row r="75" spans="1:4" ht="13.5">
      <c r="A75" s="76" t="s">
        <v>51</v>
      </c>
      <c r="B75" s="101" t="s">
        <v>270</v>
      </c>
      <c r="C75" s="57" t="s">
        <v>30</v>
      </c>
      <c r="D75" s="102">
        <f>TRUNC((1.5*1*0.05),2)</f>
        <v>0.07</v>
      </c>
    </row>
    <row r="76" spans="1:4" ht="13.5">
      <c r="A76" s="76" t="s">
        <v>51</v>
      </c>
      <c r="B76" s="101" t="s">
        <v>268</v>
      </c>
      <c r="C76" s="57" t="s">
        <v>27</v>
      </c>
      <c r="D76" s="102">
        <f>TRUNC(((3+2)*0.5),2)</f>
        <v>2.5</v>
      </c>
    </row>
    <row r="77" spans="1:4" ht="13.5">
      <c r="A77" s="76" t="s">
        <v>51</v>
      </c>
      <c r="B77" s="101" t="s">
        <v>271</v>
      </c>
      <c r="C77" s="57" t="s">
        <v>30</v>
      </c>
      <c r="D77" s="102">
        <f>TRUNC((1.5*1*0.5),2)</f>
        <v>0.75</v>
      </c>
    </row>
    <row r="78" spans="1:4" ht="13.5">
      <c r="A78" s="76" t="s">
        <v>51</v>
      </c>
      <c r="B78" s="101" t="s">
        <v>272</v>
      </c>
      <c r="C78" s="57" t="s">
        <v>30</v>
      </c>
      <c r="D78" s="102">
        <f>D77</f>
        <v>0.75</v>
      </c>
    </row>
    <row r="79" spans="1:4" ht="13.5">
      <c r="A79" s="76" t="s">
        <v>51</v>
      </c>
      <c r="B79" s="101" t="s">
        <v>261</v>
      </c>
      <c r="C79" s="57" t="s">
        <v>27</v>
      </c>
      <c r="D79" s="102">
        <f>TRUNC((1.5*1),2)</f>
        <v>1.5</v>
      </c>
    </row>
    <row r="80" spans="1:4" ht="13.5">
      <c r="A80" s="76" t="s">
        <v>51</v>
      </c>
      <c r="B80" s="101" t="s">
        <v>262</v>
      </c>
      <c r="C80" s="57" t="s">
        <v>29</v>
      </c>
      <c r="D80" s="102">
        <f>TRUNC((1.4*2),2)</f>
        <v>2.8</v>
      </c>
    </row>
    <row r="81" spans="1:4" ht="13.5">
      <c r="A81" s="76" t="s">
        <v>51</v>
      </c>
      <c r="B81" s="101" t="s">
        <v>263</v>
      </c>
      <c r="C81" s="57" t="s">
        <v>31</v>
      </c>
      <c r="D81" s="102">
        <v>4</v>
      </c>
    </row>
    <row r="82" spans="1:4" ht="13.5">
      <c r="A82" s="76" t="s">
        <v>51</v>
      </c>
      <c r="B82" s="101" t="s">
        <v>264</v>
      </c>
      <c r="C82" s="57" t="s">
        <v>31</v>
      </c>
      <c r="D82" s="102">
        <v>8</v>
      </c>
    </row>
    <row r="83" spans="1:4" ht="13.5">
      <c r="A83" s="76" t="s">
        <v>51</v>
      </c>
      <c r="B83" s="101" t="s">
        <v>265</v>
      </c>
      <c r="C83" s="57" t="s">
        <v>31</v>
      </c>
      <c r="D83" s="102">
        <v>3</v>
      </c>
    </row>
    <row r="84" spans="1:4" ht="13.5">
      <c r="A84" s="68"/>
      <c r="B84" s="69"/>
      <c r="C84" s="70"/>
      <c r="D84" s="71"/>
    </row>
    <row r="85" ht="56.25" customHeight="1"/>
    <row r="86" ht="13.5">
      <c r="B86" s="103" t="str">
        <f>COMPOSIÇÕES!A89</f>
        <v>ROGÉRIO NOGUEIRA DIAS</v>
      </c>
    </row>
    <row r="87" ht="13.5">
      <c r="B87" s="66" t="str">
        <f>COMPOSIÇÕES!A90</f>
        <v>ARQUITETO E URBANISTA</v>
      </c>
    </row>
    <row r="88" ht="13.5">
      <c r="B88" s="66" t="str">
        <f>COMPOSIÇÕES!A91</f>
        <v>CAU A76801-4</v>
      </c>
    </row>
  </sheetData>
  <sheetProtection/>
  <mergeCells count="7">
    <mergeCell ref="B8:D8"/>
    <mergeCell ref="B30:D30"/>
    <mergeCell ref="A1:D1"/>
    <mergeCell ref="B3:F3"/>
    <mergeCell ref="A2:D2"/>
    <mergeCell ref="A4:D4"/>
    <mergeCell ref="A6:D6"/>
  </mergeCells>
  <printOptions/>
  <pageMargins left="1.3779527559055118" right="0.5905511811023623" top="0.5905511811023623" bottom="0.5905511811023623" header="0.31496062992125984" footer="0.31496062992125984"/>
  <pageSetup horizontalDpi="600" verticalDpi="600" orientation="portrait" paperSize="9" scale="80" r:id="rId2"/>
  <headerFooter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2"/>
  <sheetViews>
    <sheetView tabSelected="1" view="pageBreakPreview" zoomScaleSheetLayoutView="100" workbookViewId="0" topLeftCell="A1">
      <selection activeCell="K13" sqref="K13"/>
    </sheetView>
  </sheetViews>
  <sheetFormatPr defaultColWidth="9.140625" defaultRowHeight="12.75"/>
  <cols>
    <col min="1" max="1" width="12.140625" style="62" bestFit="1" customWidth="1"/>
    <col min="2" max="2" width="59.421875" style="62" customWidth="1"/>
    <col min="3" max="3" width="8.28125" style="62" bestFit="1" customWidth="1"/>
    <col min="4" max="4" width="11.28125" style="66" bestFit="1" customWidth="1"/>
    <col min="5" max="5" width="14.140625" style="67" bestFit="1" customWidth="1"/>
    <col min="6" max="6" width="16.00390625" style="67" bestFit="1" customWidth="1"/>
    <col min="7" max="8" width="12.140625" style="62" bestFit="1" customWidth="1"/>
    <col min="9" max="9" width="9.00390625" style="62" bestFit="1" customWidth="1"/>
    <col min="10" max="16384" width="8.8515625" style="62" customWidth="1"/>
  </cols>
  <sheetData>
    <row r="1" spans="1:6" ht="12.75">
      <c r="A1" s="450" t="str">
        <f>Resumo!A1</f>
        <v>R. N. DIAS CONSULTORIA E PROJETOS – ME</v>
      </c>
      <c r="B1" s="450"/>
      <c r="C1" s="450"/>
      <c r="D1" s="450"/>
      <c r="E1" s="450"/>
      <c r="F1" s="450"/>
    </row>
    <row r="2" spans="1:6" ht="12.75">
      <c r="A2" s="460" t="str">
        <f>Resumo!A2</f>
        <v>CNPJ 40.600.695/0001-67</v>
      </c>
      <c r="B2" s="460"/>
      <c r="C2" s="460"/>
      <c r="D2" s="460"/>
      <c r="E2" s="460"/>
      <c r="F2" s="460"/>
    </row>
    <row r="3" spans="1:6" ht="12.75">
      <c r="A3" s="461"/>
      <c r="B3" s="461"/>
      <c r="C3" s="461"/>
      <c r="D3" s="461"/>
      <c r="E3" s="461"/>
      <c r="F3" s="461"/>
    </row>
    <row r="4" spans="1:6" s="268" customFormat="1" ht="12.75">
      <c r="A4" s="315" t="str">
        <f>Planilha!A4</f>
        <v>OBRA:</v>
      </c>
      <c r="B4" s="462" t="str">
        <f>Planilha!B4</f>
        <v>CONSTRUÇÃO DE QUADRA DE BASQUETE STREETBALL, NO MUNICÍPIO DE JACIARA - MT</v>
      </c>
      <c r="C4" s="462"/>
      <c r="D4" s="462"/>
      <c r="E4" s="462"/>
      <c r="F4" s="462"/>
    </row>
    <row r="5" spans="1:6" s="268" customFormat="1" ht="13.5">
      <c r="A5" s="315" t="str">
        <f>Planilha!A5</f>
        <v>ENDEREÇO:</v>
      </c>
      <c r="B5" s="462" t="str">
        <f>Planilha!B5</f>
        <v>ENTRE AS RUAS 08 E 09, BAIRRO ZÉ ARAÇA, JACIARA - MT  </v>
      </c>
      <c r="C5" s="462"/>
      <c r="D5" s="462"/>
      <c r="E5" s="316" t="str">
        <f>Planilha!H4</f>
        <v>BDI:</v>
      </c>
      <c r="F5" s="317">
        <f>Planilha!I4</f>
        <v>0.2288</v>
      </c>
    </row>
    <row r="6" spans="1:6" s="268" customFormat="1" ht="14.25" thickBot="1">
      <c r="A6" s="315" t="str">
        <f>Planilha!A6</f>
        <v>ASSUNTO:</v>
      </c>
      <c r="B6" s="318" t="str">
        <f>Planilha!B6</f>
        <v>CONSTRUÇÃO</v>
      </c>
      <c r="C6" s="319"/>
      <c r="D6" s="320"/>
      <c r="E6" s="316" t="s">
        <v>8</v>
      </c>
      <c r="F6" s="321">
        <f>Planilha!I5</f>
        <v>44488</v>
      </c>
    </row>
    <row r="7" spans="1:11" s="323" customFormat="1" ht="14.25" thickBot="1">
      <c r="A7" s="457" t="s">
        <v>37</v>
      </c>
      <c r="B7" s="458"/>
      <c r="C7" s="458"/>
      <c r="D7" s="458"/>
      <c r="E7" s="458"/>
      <c r="F7" s="459"/>
      <c r="G7" s="322"/>
      <c r="H7" s="322"/>
      <c r="I7" s="322"/>
      <c r="J7" s="322"/>
      <c r="K7" s="322"/>
    </row>
    <row r="8" spans="1:8" s="79" customFormat="1" ht="14.25" thickBot="1">
      <c r="A8" s="324"/>
      <c r="B8" s="465" t="str">
        <f>Planilha!C8</f>
        <v>Preços Base Boletim Sinapi Agosto/2021 não desonerado</v>
      </c>
      <c r="C8" s="465"/>
      <c r="D8" s="465"/>
      <c r="E8" s="465"/>
      <c r="F8" s="466"/>
      <c r="G8" s="325"/>
      <c r="H8" s="325"/>
    </row>
    <row r="9" spans="1:6" s="323" customFormat="1" ht="14.25" thickBot="1">
      <c r="A9" s="457" t="str">
        <f>Planilha!B4</f>
        <v>CONSTRUÇÃO DE QUADRA DE BASQUETE STREETBALL, NO MUNICÍPIO DE JACIARA - MT</v>
      </c>
      <c r="B9" s="458"/>
      <c r="C9" s="458"/>
      <c r="D9" s="458"/>
      <c r="E9" s="458"/>
      <c r="F9" s="459"/>
    </row>
    <row r="10" spans="1:6" s="79" customFormat="1" ht="14.25" thickBot="1">
      <c r="A10" s="326"/>
      <c r="B10" s="327"/>
      <c r="C10" s="327"/>
      <c r="D10" s="327"/>
      <c r="E10" s="328"/>
      <c r="F10" s="329"/>
    </row>
    <row r="11" spans="1:6" s="351" customFormat="1" ht="14.25" thickBot="1">
      <c r="A11" s="350" t="s">
        <v>197</v>
      </c>
      <c r="B11" s="331" t="s">
        <v>38</v>
      </c>
      <c r="C11" s="331" t="s">
        <v>39</v>
      </c>
      <c r="D11" s="331" t="s">
        <v>40</v>
      </c>
      <c r="E11" s="331" t="s">
        <v>41</v>
      </c>
      <c r="F11" s="332" t="s">
        <v>42</v>
      </c>
    </row>
    <row r="12" spans="1:6" ht="13.5">
      <c r="A12" s="333"/>
      <c r="B12" s="334" t="s">
        <v>198</v>
      </c>
      <c r="C12" s="335" t="s">
        <v>187</v>
      </c>
      <c r="D12" s="334" t="s">
        <v>188</v>
      </c>
      <c r="E12" s="358"/>
      <c r="F12" s="352"/>
    </row>
    <row r="13" spans="1:6" ht="13.5">
      <c r="A13" s="338">
        <v>1379</v>
      </c>
      <c r="B13" s="101" t="s">
        <v>199</v>
      </c>
      <c r="C13" s="57" t="s">
        <v>191</v>
      </c>
      <c r="D13" s="57" t="s">
        <v>200</v>
      </c>
      <c r="E13" s="339">
        <v>0.66</v>
      </c>
      <c r="F13" s="353">
        <f aca="true" t="shared" si="0" ref="F13:F19">TRUNC((D13*E13),2)</f>
        <v>0.09</v>
      </c>
    </row>
    <row r="14" spans="1:6" ht="13.5">
      <c r="A14" s="354" t="s">
        <v>201</v>
      </c>
      <c r="B14" s="101" t="s">
        <v>202</v>
      </c>
      <c r="C14" s="57" t="s">
        <v>191</v>
      </c>
      <c r="D14" s="57" t="s">
        <v>200</v>
      </c>
      <c r="E14" s="339">
        <v>2.07</v>
      </c>
      <c r="F14" s="353">
        <f t="shared" si="0"/>
        <v>0.31</v>
      </c>
    </row>
    <row r="15" spans="1:6" ht="13.5">
      <c r="A15" s="354" t="s">
        <v>203</v>
      </c>
      <c r="B15" s="101" t="s">
        <v>204</v>
      </c>
      <c r="C15" s="57" t="s">
        <v>195</v>
      </c>
      <c r="D15" s="57" t="s">
        <v>205</v>
      </c>
      <c r="E15" s="339">
        <v>3.02</v>
      </c>
      <c r="F15" s="353">
        <f t="shared" si="0"/>
        <v>0.51</v>
      </c>
    </row>
    <row r="16" spans="1:6" ht="13.5">
      <c r="A16" s="354" t="s">
        <v>206</v>
      </c>
      <c r="B16" s="56" t="s">
        <v>207</v>
      </c>
      <c r="C16" s="57" t="s">
        <v>208</v>
      </c>
      <c r="D16" s="57" t="s">
        <v>209</v>
      </c>
      <c r="E16" s="339">
        <v>9.22</v>
      </c>
      <c r="F16" s="353">
        <f t="shared" si="0"/>
        <v>0.92</v>
      </c>
    </row>
    <row r="17" spans="1:6" ht="27" customHeight="1">
      <c r="A17" s="354" t="s">
        <v>210</v>
      </c>
      <c r="B17" s="101" t="s">
        <v>211</v>
      </c>
      <c r="C17" s="57" t="s">
        <v>195</v>
      </c>
      <c r="D17" s="57" t="s">
        <v>212</v>
      </c>
      <c r="E17" s="339">
        <v>27.27</v>
      </c>
      <c r="F17" s="353">
        <f t="shared" si="0"/>
        <v>1.09</v>
      </c>
    </row>
    <row r="18" spans="1:6" ht="13.5">
      <c r="A18" s="338">
        <v>88309</v>
      </c>
      <c r="B18" s="101" t="s">
        <v>102</v>
      </c>
      <c r="C18" s="57" t="s">
        <v>192</v>
      </c>
      <c r="D18" s="57" t="s">
        <v>190</v>
      </c>
      <c r="E18" s="339">
        <v>19.86</v>
      </c>
      <c r="F18" s="353">
        <f t="shared" si="0"/>
        <v>19.86</v>
      </c>
    </row>
    <row r="19" spans="1:6" ht="14.25" thickBot="1">
      <c r="A19" s="355" t="s">
        <v>193</v>
      </c>
      <c r="B19" s="342" t="s">
        <v>93</v>
      </c>
      <c r="C19" s="343" t="s">
        <v>192</v>
      </c>
      <c r="D19" s="343" t="s">
        <v>196</v>
      </c>
      <c r="E19" s="356">
        <v>15.65</v>
      </c>
      <c r="F19" s="364">
        <f t="shared" si="0"/>
        <v>7.82</v>
      </c>
    </row>
    <row r="20" spans="1:6" ht="14.25" thickBot="1">
      <c r="A20" s="463" t="s">
        <v>213</v>
      </c>
      <c r="B20" s="464"/>
      <c r="C20" s="464"/>
      <c r="D20" s="467"/>
      <c r="E20" s="345" t="s">
        <v>44</v>
      </c>
      <c r="F20" s="345">
        <f>SUM(F13:F19)</f>
        <v>30.6</v>
      </c>
    </row>
    <row r="21" spans="1:6" ht="14.25" thickBot="1">
      <c r="A21" s="359"/>
      <c r="B21" s="360"/>
      <c r="C21" s="360"/>
      <c r="D21" s="361"/>
      <c r="E21" s="362"/>
      <c r="F21" s="363"/>
    </row>
    <row r="22" spans="1:6" s="351" customFormat="1" ht="14.25" thickBot="1">
      <c r="A22" s="330" t="s">
        <v>53</v>
      </c>
      <c r="B22" s="331" t="s">
        <v>38</v>
      </c>
      <c r="C22" s="331" t="s">
        <v>39</v>
      </c>
      <c r="D22" s="331" t="s">
        <v>40</v>
      </c>
      <c r="E22" s="331" t="s">
        <v>41</v>
      </c>
      <c r="F22" s="332" t="s">
        <v>42</v>
      </c>
    </row>
    <row r="23" spans="1:6" ht="13.5">
      <c r="A23" s="333"/>
      <c r="B23" s="334" t="s">
        <v>275</v>
      </c>
      <c r="C23" s="335" t="s">
        <v>191</v>
      </c>
      <c r="D23" s="336" t="s">
        <v>188</v>
      </c>
      <c r="E23" s="358"/>
      <c r="F23" s="365"/>
    </row>
    <row r="24" spans="1:6" ht="27">
      <c r="A24" s="338">
        <v>39017</v>
      </c>
      <c r="B24" s="101" t="s">
        <v>98</v>
      </c>
      <c r="C24" s="57" t="s">
        <v>195</v>
      </c>
      <c r="D24" s="57">
        <v>0.97</v>
      </c>
      <c r="E24" s="339">
        <v>0.21</v>
      </c>
      <c r="F24" s="353">
        <f>TRUNC(D24*E24,2)</f>
        <v>0.2</v>
      </c>
    </row>
    <row r="25" spans="1:6" ht="27">
      <c r="A25" s="338" t="s">
        <v>252</v>
      </c>
      <c r="B25" s="101" t="s">
        <v>253</v>
      </c>
      <c r="C25" s="57" t="s">
        <v>191</v>
      </c>
      <c r="D25" s="57" t="s">
        <v>254</v>
      </c>
      <c r="E25" s="339">
        <v>19.99</v>
      </c>
      <c r="F25" s="353">
        <f>TRUNC(D25*E25,2)</f>
        <v>0.49</v>
      </c>
    </row>
    <row r="26" spans="1:6" ht="13.5">
      <c r="A26" s="338">
        <v>88238</v>
      </c>
      <c r="B26" s="101" t="s">
        <v>96</v>
      </c>
      <c r="C26" s="57" t="s">
        <v>192</v>
      </c>
      <c r="D26" s="57">
        <v>0.0155</v>
      </c>
      <c r="E26" s="339">
        <v>14.93</v>
      </c>
      <c r="F26" s="353">
        <f>TRUNC(D26*E26,2)</f>
        <v>0.23</v>
      </c>
    </row>
    <row r="27" spans="1:6" ht="13.5">
      <c r="A27" s="338" t="s">
        <v>256</v>
      </c>
      <c r="B27" s="101" t="s">
        <v>97</v>
      </c>
      <c r="C27" s="57" t="s">
        <v>192</v>
      </c>
      <c r="D27" s="57">
        <v>0.0947</v>
      </c>
      <c r="E27" s="339">
        <v>19.75</v>
      </c>
      <c r="F27" s="353">
        <f>TRUNC(D27*E27,2)</f>
        <v>1.87</v>
      </c>
    </row>
    <row r="28" spans="1:6" ht="27.75" customHeight="1" thickBot="1">
      <c r="A28" s="341">
        <v>92791</v>
      </c>
      <c r="B28" s="342" t="s">
        <v>258</v>
      </c>
      <c r="C28" s="343" t="s">
        <v>191</v>
      </c>
      <c r="D28" s="343" t="s">
        <v>190</v>
      </c>
      <c r="E28" s="366">
        <v>14.91</v>
      </c>
      <c r="F28" s="357">
        <f>TRUNC(D28*E28,2)</f>
        <v>14.91</v>
      </c>
    </row>
    <row r="29" spans="1:6" ht="14.25" thickBot="1">
      <c r="A29" s="463" t="s">
        <v>274</v>
      </c>
      <c r="B29" s="464"/>
      <c r="C29" s="464"/>
      <c r="D29" s="464"/>
      <c r="E29" s="367" t="s">
        <v>44</v>
      </c>
      <c r="F29" s="368">
        <f>SUM(F24:F28)</f>
        <v>17.7</v>
      </c>
    </row>
    <row r="30" spans="1:6" ht="14.25" thickBot="1">
      <c r="A30" s="359"/>
      <c r="B30" s="360"/>
      <c r="C30" s="360"/>
      <c r="D30" s="361"/>
      <c r="E30" s="360"/>
      <c r="F30" s="363"/>
    </row>
    <row r="31" spans="1:6" s="351" customFormat="1" ht="14.25" thickBot="1">
      <c r="A31" s="330" t="s">
        <v>89</v>
      </c>
      <c r="B31" s="331" t="s">
        <v>38</v>
      </c>
      <c r="C31" s="331" t="s">
        <v>39</v>
      </c>
      <c r="D31" s="331" t="s">
        <v>40</v>
      </c>
      <c r="E31" s="331" t="s">
        <v>41</v>
      </c>
      <c r="F31" s="332" t="s">
        <v>42</v>
      </c>
    </row>
    <row r="32" spans="1:6" ht="13.5">
      <c r="A32" s="333"/>
      <c r="B32" s="334" t="s">
        <v>276</v>
      </c>
      <c r="C32" s="335" t="s">
        <v>191</v>
      </c>
      <c r="D32" s="336" t="s">
        <v>188</v>
      </c>
      <c r="E32" s="358"/>
      <c r="F32" s="365"/>
    </row>
    <row r="33" spans="1:6" ht="27">
      <c r="A33" s="338">
        <v>39017</v>
      </c>
      <c r="B33" s="101" t="s">
        <v>98</v>
      </c>
      <c r="C33" s="57" t="s">
        <v>195</v>
      </c>
      <c r="D33" s="57" t="s">
        <v>251</v>
      </c>
      <c r="E33" s="339">
        <v>0.21</v>
      </c>
      <c r="F33" s="353">
        <f>TRUNC(D33*E33,2)</f>
        <v>0.11</v>
      </c>
    </row>
    <row r="34" spans="1:6" ht="27">
      <c r="A34" s="338" t="s">
        <v>252</v>
      </c>
      <c r="B34" s="101" t="s">
        <v>253</v>
      </c>
      <c r="C34" s="57" t="s">
        <v>191</v>
      </c>
      <c r="D34" s="57" t="s">
        <v>254</v>
      </c>
      <c r="E34" s="339">
        <v>19.99</v>
      </c>
      <c r="F34" s="353">
        <f>TRUNC(D34*E34,2)</f>
        <v>0.49</v>
      </c>
    </row>
    <row r="35" spans="1:6" ht="13.5">
      <c r="A35" s="338">
        <v>88238</v>
      </c>
      <c r="B35" s="101" t="s">
        <v>96</v>
      </c>
      <c r="C35" s="57" t="s">
        <v>192</v>
      </c>
      <c r="D35" s="57" t="s">
        <v>255</v>
      </c>
      <c r="E35" s="339">
        <v>14.93</v>
      </c>
      <c r="F35" s="353">
        <f>TRUNC(D35*E35,2)</f>
        <v>0.12</v>
      </c>
    </row>
    <row r="36" spans="1:6" ht="13.5">
      <c r="A36" s="338" t="s">
        <v>256</v>
      </c>
      <c r="B36" s="101" t="s">
        <v>97</v>
      </c>
      <c r="C36" s="57" t="s">
        <v>192</v>
      </c>
      <c r="D36" s="57" t="s">
        <v>257</v>
      </c>
      <c r="E36" s="339">
        <v>19.75</v>
      </c>
      <c r="F36" s="353">
        <f>TRUNC(D36*E36,2)</f>
        <v>1.04</v>
      </c>
    </row>
    <row r="37" spans="1:6" ht="27.75" thickBot="1">
      <c r="A37" s="341">
        <v>92794</v>
      </c>
      <c r="B37" s="342" t="s">
        <v>101</v>
      </c>
      <c r="C37" s="343" t="s">
        <v>191</v>
      </c>
      <c r="D37" s="343" t="s">
        <v>190</v>
      </c>
      <c r="E37" s="366">
        <v>14.77</v>
      </c>
      <c r="F37" s="357">
        <f>TRUNC(D37*E37,2)</f>
        <v>14.77</v>
      </c>
    </row>
    <row r="38" spans="1:6" ht="14.25" thickBot="1">
      <c r="A38" s="463" t="s">
        <v>259</v>
      </c>
      <c r="B38" s="464"/>
      <c r="C38" s="464"/>
      <c r="D38" s="464"/>
      <c r="E38" s="367" t="s">
        <v>44</v>
      </c>
      <c r="F38" s="368">
        <f>SUM(F33:F37)</f>
        <v>16.53</v>
      </c>
    </row>
    <row r="39" spans="1:6" ht="14.25" thickBot="1">
      <c r="A39" s="359"/>
      <c r="B39" s="360"/>
      <c r="C39" s="360"/>
      <c r="D39" s="361"/>
      <c r="E39" s="360"/>
      <c r="F39" s="363"/>
    </row>
    <row r="40" spans="1:6" s="351" customFormat="1" ht="14.25" thickBot="1">
      <c r="A40" s="330" t="s">
        <v>92</v>
      </c>
      <c r="B40" s="331" t="s">
        <v>38</v>
      </c>
      <c r="C40" s="331" t="s">
        <v>39</v>
      </c>
      <c r="D40" s="331" t="s">
        <v>40</v>
      </c>
      <c r="E40" s="331" t="s">
        <v>41</v>
      </c>
      <c r="F40" s="332" t="s">
        <v>42</v>
      </c>
    </row>
    <row r="41" spans="1:6" ht="13.5">
      <c r="A41" s="333"/>
      <c r="B41" s="334" t="s">
        <v>277</v>
      </c>
      <c r="C41" s="335" t="s">
        <v>191</v>
      </c>
      <c r="D41" s="336" t="s">
        <v>188</v>
      </c>
      <c r="E41" s="358"/>
      <c r="F41" s="365"/>
    </row>
    <row r="42" spans="1:6" ht="27">
      <c r="A42" s="338">
        <v>39017</v>
      </c>
      <c r="B42" s="101" t="s">
        <v>98</v>
      </c>
      <c r="C42" s="57" t="s">
        <v>195</v>
      </c>
      <c r="D42" s="57">
        <v>0.97</v>
      </c>
      <c r="E42" s="339">
        <v>0.21</v>
      </c>
      <c r="F42" s="353">
        <f>TRUNC((D42*E42),2)</f>
        <v>0.2</v>
      </c>
    </row>
    <row r="43" spans="1:6" ht="27">
      <c r="A43" s="338" t="s">
        <v>252</v>
      </c>
      <c r="B43" s="101" t="s">
        <v>253</v>
      </c>
      <c r="C43" s="57" t="s">
        <v>191</v>
      </c>
      <c r="D43" s="57" t="s">
        <v>254</v>
      </c>
      <c r="E43" s="339">
        <v>19.99</v>
      </c>
      <c r="F43" s="353">
        <f>TRUNC((D43*E43),2)</f>
        <v>0.49</v>
      </c>
    </row>
    <row r="44" spans="1:6" ht="13.5">
      <c r="A44" s="338">
        <v>88238</v>
      </c>
      <c r="B44" s="101" t="s">
        <v>96</v>
      </c>
      <c r="C44" s="57" t="s">
        <v>192</v>
      </c>
      <c r="D44" s="57">
        <v>0.0155</v>
      </c>
      <c r="E44" s="339">
        <v>14.93</v>
      </c>
      <c r="F44" s="353">
        <f>TRUNC((D44*E44),2)</f>
        <v>0.23</v>
      </c>
    </row>
    <row r="45" spans="1:6" ht="13.5">
      <c r="A45" s="338" t="s">
        <v>256</v>
      </c>
      <c r="B45" s="101" t="s">
        <v>97</v>
      </c>
      <c r="C45" s="57" t="s">
        <v>192</v>
      </c>
      <c r="D45" s="57">
        <v>0.0947</v>
      </c>
      <c r="E45" s="339">
        <v>19.75</v>
      </c>
      <c r="F45" s="353">
        <f>TRUNC((D45*E45),2)</f>
        <v>1.87</v>
      </c>
    </row>
    <row r="46" spans="1:6" ht="24" customHeight="1" thickBot="1">
      <c r="A46" s="341">
        <v>92792</v>
      </c>
      <c r="B46" s="342" t="s">
        <v>266</v>
      </c>
      <c r="C46" s="343" t="s">
        <v>191</v>
      </c>
      <c r="D46" s="343" t="s">
        <v>190</v>
      </c>
      <c r="E46" s="344">
        <v>15.66</v>
      </c>
      <c r="F46" s="364">
        <f>TRUNC((D46*E46),2)</f>
        <v>15.66</v>
      </c>
    </row>
    <row r="47" spans="1:6" ht="14.25" thickBot="1">
      <c r="A47" s="463" t="s">
        <v>274</v>
      </c>
      <c r="B47" s="464"/>
      <c r="C47" s="464"/>
      <c r="D47" s="464"/>
      <c r="E47" s="369" t="s">
        <v>44</v>
      </c>
      <c r="F47" s="370">
        <f>SUM(F42:F46)</f>
        <v>18.45</v>
      </c>
    </row>
    <row r="48" spans="1:6" ht="14.25" thickBot="1">
      <c r="A48" s="359"/>
      <c r="B48" s="360"/>
      <c r="C48" s="360"/>
      <c r="D48" s="361"/>
      <c r="E48" s="362"/>
      <c r="F48" s="363"/>
    </row>
    <row r="49" spans="1:6" s="351" customFormat="1" ht="14.25" thickBot="1">
      <c r="A49" s="330" t="s">
        <v>95</v>
      </c>
      <c r="B49" s="331" t="s">
        <v>38</v>
      </c>
      <c r="C49" s="331" t="s">
        <v>39</v>
      </c>
      <c r="D49" s="331" t="s">
        <v>40</v>
      </c>
      <c r="E49" s="331" t="s">
        <v>41</v>
      </c>
      <c r="F49" s="332" t="s">
        <v>42</v>
      </c>
    </row>
    <row r="50" spans="1:6" ht="27">
      <c r="A50" s="333" t="s">
        <v>43</v>
      </c>
      <c r="B50" s="334" t="s">
        <v>273</v>
      </c>
      <c r="C50" s="335" t="s">
        <v>29</v>
      </c>
      <c r="D50" s="336"/>
      <c r="E50" s="358"/>
      <c r="F50" s="365"/>
    </row>
    <row r="51" spans="1:6" ht="41.25">
      <c r="A51" s="338">
        <v>87294</v>
      </c>
      <c r="B51" s="101" t="s">
        <v>295</v>
      </c>
      <c r="C51" s="57" t="s">
        <v>30</v>
      </c>
      <c r="D51" s="57">
        <v>0.0014</v>
      </c>
      <c r="E51" s="339">
        <v>394.54</v>
      </c>
      <c r="F51" s="353">
        <f aca="true" t="shared" si="1" ref="F51:F56">TRUNC((D51*E51),2)</f>
        <v>0.55</v>
      </c>
    </row>
    <row r="52" spans="1:6" ht="13.5">
      <c r="A52" s="338">
        <v>88309</v>
      </c>
      <c r="B52" s="101" t="s">
        <v>102</v>
      </c>
      <c r="C52" s="57" t="s">
        <v>32</v>
      </c>
      <c r="D52" s="57">
        <v>0.253</v>
      </c>
      <c r="E52" s="339">
        <v>19.86</v>
      </c>
      <c r="F52" s="353">
        <f t="shared" si="1"/>
        <v>5.02</v>
      </c>
    </row>
    <row r="53" spans="1:6" ht="13.5">
      <c r="A53" s="338">
        <v>88316</v>
      </c>
      <c r="B53" s="371" t="s">
        <v>93</v>
      </c>
      <c r="C53" s="57" t="s">
        <v>32</v>
      </c>
      <c r="D53" s="57">
        <v>0.126</v>
      </c>
      <c r="E53" s="339">
        <v>15.65</v>
      </c>
      <c r="F53" s="353">
        <f t="shared" si="1"/>
        <v>1.97</v>
      </c>
    </row>
    <row r="54" spans="1:6" ht="31.5" customHeight="1">
      <c r="A54" s="338">
        <v>90279</v>
      </c>
      <c r="B54" s="101" t="s">
        <v>103</v>
      </c>
      <c r="C54" s="57" t="s">
        <v>30</v>
      </c>
      <c r="D54" s="57">
        <v>0.0114</v>
      </c>
      <c r="E54" s="339">
        <v>383.18</v>
      </c>
      <c r="F54" s="353">
        <f t="shared" si="1"/>
        <v>4.36</v>
      </c>
    </row>
    <row r="55" spans="1:6" ht="30" customHeight="1">
      <c r="A55" s="338">
        <v>92793</v>
      </c>
      <c r="B55" s="101" t="s">
        <v>104</v>
      </c>
      <c r="C55" s="57" t="s">
        <v>31</v>
      </c>
      <c r="D55" s="57">
        <v>0.79</v>
      </c>
      <c r="E55" s="339">
        <v>15.88</v>
      </c>
      <c r="F55" s="353">
        <f t="shared" si="1"/>
        <v>12.54</v>
      </c>
    </row>
    <row r="56" spans="1:9" ht="27.75" thickBot="1">
      <c r="A56" s="341">
        <v>38597</v>
      </c>
      <c r="B56" s="342" t="s">
        <v>111</v>
      </c>
      <c r="C56" s="343" t="s">
        <v>105</v>
      </c>
      <c r="D56" s="343">
        <v>2.56</v>
      </c>
      <c r="E56" s="344">
        <v>3.68</v>
      </c>
      <c r="F56" s="364">
        <f t="shared" si="1"/>
        <v>9.42</v>
      </c>
      <c r="H56" s="62">
        <f>0.14*0.19*0.19</f>
        <v>0.005054</v>
      </c>
      <c r="I56" s="62">
        <f>1/0.19</f>
        <v>5.2631578947368425</v>
      </c>
    </row>
    <row r="57" spans="1:9" ht="45" customHeight="1" thickBot="1">
      <c r="A57" s="463" t="s">
        <v>182</v>
      </c>
      <c r="B57" s="464"/>
      <c r="C57" s="464"/>
      <c r="D57" s="464"/>
      <c r="E57" s="369" t="s">
        <v>44</v>
      </c>
      <c r="F57" s="370">
        <f>SUM(F51:F56)</f>
        <v>33.86</v>
      </c>
      <c r="H57" s="62">
        <f>0.14*0.19*0.39</f>
        <v>0.010374000000000001</v>
      </c>
      <c r="I57" s="62">
        <f>1/0.39</f>
        <v>2.564102564102564</v>
      </c>
    </row>
    <row r="58" spans="1:6" s="79" customFormat="1" ht="14.25" thickBot="1">
      <c r="A58" s="346"/>
      <c r="B58" s="92"/>
      <c r="C58" s="92"/>
      <c r="D58" s="92"/>
      <c r="E58" s="348"/>
      <c r="F58" s="349"/>
    </row>
    <row r="59" spans="1:6" s="372" customFormat="1" ht="14.25" thickBot="1">
      <c r="A59" s="350" t="s">
        <v>241</v>
      </c>
      <c r="B59" s="331" t="s">
        <v>38</v>
      </c>
      <c r="C59" s="331" t="s">
        <v>39</v>
      </c>
      <c r="D59" s="331" t="s">
        <v>40</v>
      </c>
      <c r="E59" s="331" t="s">
        <v>41</v>
      </c>
      <c r="F59" s="332" t="s">
        <v>42</v>
      </c>
    </row>
    <row r="60" spans="1:6" s="377" customFormat="1" ht="41.25">
      <c r="A60" s="373" t="s">
        <v>43</v>
      </c>
      <c r="B60" s="374" t="s">
        <v>280</v>
      </c>
      <c r="C60" s="375" t="s">
        <v>36</v>
      </c>
      <c r="D60" s="376"/>
      <c r="E60" s="358"/>
      <c r="F60" s="337"/>
    </row>
    <row r="61" spans="1:6" s="377" customFormat="1" ht="27">
      <c r="A61" s="378" t="s">
        <v>229</v>
      </c>
      <c r="B61" s="379" t="s">
        <v>244</v>
      </c>
      <c r="C61" s="89" t="s">
        <v>36</v>
      </c>
      <c r="D61" s="89">
        <v>1</v>
      </c>
      <c r="E61" s="339">
        <f>F79</f>
        <v>9700</v>
      </c>
      <c r="F61" s="340">
        <f>TRUNC((D61*E61),2)</f>
        <v>9700</v>
      </c>
    </row>
    <row r="62" spans="1:6" s="67" customFormat="1" ht="15.75" customHeight="1">
      <c r="A62" s="354">
        <v>88240</v>
      </c>
      <c r="B62" s="101" t="s">
        <v>283</v>
      </c>
      <c r="C62" s="57" t="s">
        <v>32</v>
      </c>
      <c r="D62" s="380">
        <f>F68</f>
        <v>0.2405</v>
      </c>
      <c r="E62" s="339">
        <v>11.43</v>
      </c>
      <c r="F62" s="353">
        <f>TRUNC((D62*E62),2)</f>
        <v>2.74</v>
      </c>
    </row>
    <row r="63" spans="1:6" s="67" customFormat="1" ht="27">
      <c r="A63" s="354">
        <v>88278</v>
      </c>
      <c r="B63" s="101" t="s">
        <v>284</v>
      </c>
      <c r="C63" s="57" t="s">
        <v>32</v>
      </c>
      <c r="D63" s="380">
        <f>F69</f>
        <v>0.925</v>
      </c>
      <c r="E63" s="339">
        <v>14.21</v>
      </c>
      <c r="F63" s="353">
        <f>TRUNC((D63*E63),2)</f>
        <v>13.14</v>
      </c>
    </row>
    <row r="64" spans="1:6" s="67" customFormat="1" ht="27">
      <c r="A64" s="354">
        <v>93288</v>
      </c>
      <c r="B64" s="101" t="s">
        <v>287</v>
      </c>
      <c r="C64" s="57" t="s">
        <v>288</v>
      </c>
      <c r="D64" s="380">
        <f>F70</f>
        <v>0.259</v>
      </c>
      <c r="E64" s="381">
        <v>117.36</v>
      </c>
      <c r="F64" s="353">
        <f>TRUNC((D64*E64),2)</f>
        <v>30.39</v>
      </c>
    </row>
    <row r="65" spans="1:6" s="67" customFormat="1" ht="27" customHeight="1" thickBot="1">
      <c r="A65" s="355">
        <v>93287</v>
      </c>
      <c r="B65" s="342" t="s">
        <v>290</v>
      </c>
      <c r="C65" s="343" t="s">
        <v>291</v>
      </c>
      <c r="D65" s="382">
        <f>F71</f>
        <v>0.2775</v>
      </c>
      <c r="E65" s="344">
        <v>440.88</v>
      </c>
      <c r="F65" s="364">
        <f>TRUNC((D65*E65),2)</f>
        <v>122.34</v>
      </c>
    </row>
    <row r="66" spans="1:6" s="67" customFormat="1" ht="14.25" thickBot="1">
      <c r="A66" s="475"/>
      <c r="B66" s="476"/>
      <c r="C66" s="476"/>
      <c r="D66" s="477"/>
      <c r="E66" s="345" t="s">
        <v>44</v>
      </c>
      <c r="F66" s="345">
        <f>SUM(F61:F65)</f>
        <v>9868.609999999999</v>
      </c>
    </row>
    <row r="67" spans="1:6" s="67" customFormat="1" ht="58.5" customHeight="1">
      <c r="A67" s="470" t="s">
        <v>286</v>
      </c>
      <c r="B67" s="471"/>
      <c r="C67" s="471"/>
      <c r="D67" s="471"/>
      <c r="E67" s="471"/>
      <c r="F67" s="472"/>
    </row>
    <row r="68" spans="1:6" s="67" customFormat="1" ht="27">
      <c r="A68" s="383"/>
      <c r="B68" s="101" t="s">
        <v>283</v>
      </c>
      <c r="C68" s="57">
        <v>0.0013</v>
      </c>
      <c r="D68" s="57" t="s">
        <v>285</v>
      </c>
      <c r="E68" s="384">
        <v>185</v>
      </c>
      <c r="F68" s="385">
        <f>TRUNC(C68*E68,4)</f>
        <v>0.2405</v>
      </c>
    </row>
    <row r="69" spans="1:6" s="67" customFormat="1" ht="27">
      <c r="A69" s="383"/>
      <c r="B69" s="101" t="s">
        <v>284</v>
      </c>
      <c r="C69" s="57">
        <v>0.005</v>
      </c>
      <c r="D69" s="57" t="s">
        <v>285</v>
      </c>
      <c r="E69" s="384">
        <v>185</v>
      </c>
      <c r="F69" s="385">
        <f>TRUNC(C69*E69,4)</f>
        <v>0.925</v>
      </c>
    </row>
    <row r="70" spans="1:6" s="67" customFormat="1" ht="27">
      <c r="A70" s="383"/>
      <c r="B70" s="101" t="s">
        <v>287</v>
      </c>
      <c r="C70" s="57">
        <v>0.0014</v>
      </c>
      <c r="D70" s="57" t="s">
        <v>289</v>
      </c>
      <c r="E70" s="384">
        <v>185</v>
      </c>
      <c r="F70" s="385">
        <f>TRUNC(C70*E70,4)</f>
        <v>0.259</v>
      </c>
    </row>
    <row r="71" spans="1:6" s="67" customFormat="1" ht="33" customHeight="1" thickBot="1">
      <c r="A71" s="386"/>
      <c r="B71" s="342" t="s">
        <v>290</v>
      </c>
      <c r="C71" s="343">
        <v>0.0015</v>
      </c>
      <c r="D71" s="343" t="s">
        <v>292</v>
      </c>
      <c r="E71" s="387">
        <v>185</v>
      </c>
      <c r="F71" s="388">
        <f>TRUNC(C71*E71,4)</f>
        <v>0.2775</v>
      </c>
    </row>
    <row r="72" spans="1:6" s="67" customFormat="1" ht="14.25" thickBot="1">
      <c r="A72" s="346"/>
      <c r="B72" s="92"/>
      <c r="C72" s="92"/>
      <c r="D72" s="92"/>
      <c r="E72" s="347"/>
      <c r="F72" s="389"/>
    </row>
    <row r="73" spans="1:6" s="351" customFormat="1" ht="15.75" customHeight="1" thickBot="1">
      <c r="A73" s="457" t="s">
        <v>231</v>
      </c>
      <c r="B73" s="458"/>
      <c r="C73" s="458"/>
      <c r="D73" s="458"/>
      <c r="E73" s="458"/>
      <c r="F73" s="459"/>
    </row>
    <row r="74" spans="1:6" s="323" customFormat="1" ht="13.5">
      <c r="A74" s="478" t="str">
        <f>B61</f>
        <v>TABELA DE BASQUETE, VITA ESTRUTURA FIXA BASKET PLUS, OU SIMILAR,  CONFORME DETALHE CONTIDO NO PROJETO PRANCHA 03/04</v>
      </c>
      <c r="B74" s="479"/>
      <c r="C74" s="479"/>
      <c r="D74" s="479"/>
      <c r="E74" s="479"/>
      <c r="F74" s="480"/>
    </row>
    <row r="75" spans="1:6" s="351" customFormat="1" ht="14.25" thickBot="1">
      <c r="A75" s="390" t="s">
        <v>232</v>
      </c>
      <c r="B75" s="391" t="s">
        <v>233</v>
      </c>
      <c r="C75" s="481" t="s">
        <v>234</v>
      </c>
      <c r="D75" s="482"/>
      <c r="E75" s="392" t="s">
        <v>235</v>
      </c>
      <c r="F75" s="393" t="s">
        <v>5</v>
      </c>
    </row>
    <row r="76" spans="1:6" ht="27">
      <c r="A76" s="394">
        <v>44441</v>
      </c>
      <c r="B76" s="395" t="s">
        <v>242</v>
      </c>
      <c r="C76" s="468" t="s">
        <v>237</v>
      </c>
      <c r="D76" s="469"/>
      <c r="E76" s="396" t="s">
        <v>236</v>
      </c>
      <c r="F76" s="397">
        <v>9700</v>
      </c>
    </row>
    <row r="77" spans="1:6" s="79" customFormat="1" ht="13.5">
      <c r="A77" s="398">
        <v>44440</v>
      </c>
      <c r="B77" s="399" t="s">
        <v>238</v>
      </c>
      <c r="C77" s="473" t="s">
        <v>239</v>
      </c>
      <c r="D77" s="474"/>
      <c r="E77" s="400" t="s">
        <v>296</v>
      </c>
      <c r="F77" s="401">
        <v>10000</v>
      </c>
    </row>
    <row r="78" spans="1:6" s="79" customFormat="1" ht="13.5">
      <c r="A78" s="398"/>
      <c r="B78" s="399"/>
      <c r="C78" s="473"/>
      <c r="D78" s="474"/>
      <c r="E78" s="417"/>
      <c r="F78" s="401"/>
    </row>
    <row r="79" spans="1:6" s="79" customFormat="1" ht="14.25" thickBot="1">
      <c r="A79" s="402"/>
      <c r="B79" s="403"/>
      <c r="C79" s="489" t="s">
        <v>240</v>
      </c>
      <c r="D79" s="490"/>
      <c r="E79" s="491"/>
      <c r="F79" s="404">
        <f>F76</f>
        <v>9700</v>
      </c>
    </row>
    <row r="80" spans="1:6" s="67" customFormat="1" ht="14.25" thickBot="1">
      <c r="A80" s="405"/>
      <c r="B80" s="362"/>
      <c r="C80" s="362"/>
      <c r="D80" s="406"/>
      <c r="E80" s="362"/>
      <c r="F80" s="363"/>
    </row>
    <row r="81" spans="1:6" s="351" customFormat="1" ht="14.25" thickBot="1">
      <c r="A81" s="330" t="s">
        <v>267</v>
      </c>
      <c r="B81" s="331" t="s">
        <v>38</v>
      </c>
      <c r="C81" s="331" t="s">
        <v>39</v>
      </c>
      <c r="D81" s="331" t="s">
        <v>40</v>
      </c>
      <c r="E81" s="331" t="s">
        <v>41</v>
      </c>
      <c r="F81" s="332" t="s">
        <v>42</v>
      </c>
    </row>
    <row r="82" spans="1:6" ht="27">
      <c r="A82" s="333" t="s">
        <v>245</v>
      </c>
      <c r="B82" s="334" t="s">
        <v>293</v>
      </c>
      <c r="C82" s="335" t="s">
        <v>189</v>
      </c>
      <c r="D82" s="336" t="s">
        <v>188</v>
      </c>
      <c r="E82" s="358"/>
      <c r="F82" s="365"/>
    </row>
    <row r="83" spans="1:6" ht="13.5">
      <c r="A83" s="338" t="s">
        <v>246</v>
      </c>
      <c r="B83" s="101" t="s">
        <v>102</v>
      </c>
      <c r="C83" s="57" t="s">
        <v>192</v>
      </c>
      <c r="D83" s="57" t="s">
        <v>247</v>
      </c>
      <c r="E83" s="339">
        <v>19.86</v>
      </c>
      <c r="F83" s="353">
        <f>TRUNC((D83*E83),2)</f>
        <v>9.65</v>
      </c>
    </row>
    <row r="84" spans="1:6" ht="13.5">
      <c r="A84" s="338" t="s">
        <v>193</v>
      </c>
      <c r="B84" s="101" t="s">
        <v>93</v>
      </c>
      <c r="C84" s="57" t="s">
        <v>192</v>
      </c>
      <c r="D84" s="57" t="s">
        <v>248</v>
      </c>
      <c r="E84" s="339">
        <v>15.65</v>
      </c>
      <c r="F84" s="353">
        <f>TRUNC((D84*E84),2)</f>
        <v>10.4</v>
      </c>
    </row>
    <row r="85" spans="1:6" ht="42" thickBot="1">
      <c r="A85" s="341">
        <v>94970</v>
      </c>
      <c r="B85" s="342" t="s">
        <v>249</v>
      </c>
      <c r="C85" s="343" t="s">
        <v>194</v>
      </c>
      <c r="D85" s="343" t="s">
        <v>250</v>
      </c>
      <c r="E85" s="344">
        <v>366.55</v>
      </c>
      <c r="F85" s="364">
        <f>TRUNC((D85*E85),2)</f>
        <v>15.76</v>
      </c>
    </row>
    <row r="86" spans="1:9" ht="14.25" thickBot="1">
      <c r="A86" s="463" t="s">
        <v>294</v>
      </c>
      <c r="B86" s="464"/>
      <c r="C86" s="464"/>
      <c r="D86" s="464"/>
      <c r="E86" s="369" t="s">
        <v>44</v>
      </c>
      <c r="F86" s="370">
        <f>SUM(F83:F85)</f>
        <v>35.81</v>
      </c>
      <c r="H86" s="62">
        <f>0.14*0.19*0.39</f>
        <v>0.010374000000000001</v>
      </c>
      <c r="I86" s="62">
        <f>1/0.39</f>
        <v>2.564102564102564</v>
      </c>
    </row>
    <row r="87" spans="1:6" ht="32.25" customHeight="1">
      <c r="A87" s="492"/>
      <c r="B87" s="493"/>
      <c r="C87" s="493"/>
      <c r="D87" s="493"/>
      <c r="E87" s="493"/>
      <c r="F87" s="494"/>
    </row>
    <row r="88" spans="1:6" ht="13.5">
      <c r="A88" s="359"/>
      <c r="B88" s="360"/>
      <c r="C88" s="360"/>
      <c r="D88" s="361"/>
      <c r="E88" s="362"/>
      <c r="F88" s="363"/>
    </row>
    <row r="89" spans="1:6" ht="13.5">
      <c r="A89" s="483" t="str">
        <f>Resumo!C22</f>
        <v>ROGÉRIO NOGUEIRA DIAS</v>
      </c>
      <c r="B89" s="484"/>
      <c r="C89" s="484"/>
      <c r="D89" s="484"/>
      <c r="E89" s="484"/>
      <c r="F89" s="485"/>
    </row>
    <row r="90" spans="1:6" ht="13.5">
      <c r="A90" s="486" t="str">
        <f>Resumo!C23</f>
        <v>ARQUITETO E URBANISTA</v>
      </c>
      <c r="B90" s="487"/>
      <c r="C90" s="487"/>
      <c r="D90" s="487"/>
      <c r="E90" s="487"/>
      <c r="F90" s="488"/>
    </row>
    <row r="91" spans="1:6" ht="13.5">
      <c r="A91" s="486" t="str">
        <f>Resumo!C24</f>
        <v>CAU A76801-4</v>
      </c>
      <c r="B91" s="487"/>
      <c r="C91" s="487"/>
      <c r="D91" s="487"/>
      <c r="E91" s="487"/>
      <c r="F91" s="488"/>
    </row>
    <row r="92" spans="1:6" ht="14.25" thickBot="1">
      <c r="A92" s="407"/>
      <c r="B92" s="408"/>
      <c r="C92" s="408"/>
      <c r="D92" s="409"/>
      <c r="E92" s="410"/>
      <c r="F92" s="411"/>
    </row>
  </sheetData>
  <sheetProtection/>
  <mergeCells count="27">
    <mergeCell ref="A47:D47"/>
    <mergeCell ref="A89:F89"/>
    <mergeCell ref="A90:F90"/>
    <mergeCell ref="A91:F91"/>
    <mergeCell ref="C79:E79"/>
    <mergeCell ref="A87:F87"/>
    <mergeCell ref="A57:D57"/>
    <mergeCell ref="C76:D76"/>
    <mergeCell ref="A67:F67"/>
    <mergeCell ref="C77:D77"/>
    <mergeCell ref="C78:D78"/>
    <mergeCell ref="A66:D66"/>
    <mergeCell ref="A29:D29"/>
    <mergeCell ref="A38:D38"/>
    <mergeCell ref="A73:F73"/>
    <mergeCell ref="A74:F74"/>
    <mergeCell ref="C75:D75"/>
    <mergeCell ref="A1:F1"/>
    <mergeCell ref="A2:F2"/>
    <mergeCell ref="A3:F3"/>
    <mergeCell ref="A9:F9"/>
    <mergeCell ref="B4:F4"/>
    <mergeCell ref="A86:D86"/>
    <mergeCell ref="B5:D5"/>
    <mergeCell ref="A7:F7"/>
    <mergeCell ref="B8:F8"/>
    <mergeCell ref="A20:D20"/>
  </mergeCells>
  <printOptions/>
  <pageMargins left="0.984251968503937" right="0.5118110236220472" top="0.3937007874015748" bottom="0.3937007874015748" header="0.31496062992125984" footer="0.31496062992125984"/>
  <pageSetup horizontalDpi="600" verticalDpi="600" orientation="portrait" paperSize="9" scale="70" r:id="rId2"/>
  <headerFooter>
    <oddFooter>&amp;CPágina &amp;P de &amp;N</oddFooter>
  </headerFooter>
  <rowBreaks count="1" manualBreakCount="1">
    <brk id="57" max="5" man="1"/>
  </rowBreaks>
  <colBreaks count="1" manualBreakCount="1">
    <brk id="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6"/>
  <sheetViews>
    <sheetView view="pageBreakPreview" zoomScaleNormal="70" zoomScaleSheetLayoutView="100" zoomScalePageLayoutView="0" workbookViewId="0" topLeftCell="A53">
      <selection activeCell="J59" sqref="J59"/>
    </sheetView>
  </sheetViews>
  <sheetFormatPr defaultColWidth="9.140625" defaultRowHeight="12.75"/>
  <cols>
    <col min="1" max="1" width="13.140625" style="255" customWidth="1"/>
    <col min="2" max="2" width="15.8515625" style="255" customWidth="1"/>
    <col min="3" max="3" width="70.57421875" style="256" bestFit="1" customWidth="1"/>
    <col min="4" max="4" width="6.421875" style="257" bestFit="1" customWidth="1"/>
    <col min="5" max="5" width="17.57421875" style="262" bestFit="1" customWidth="1"/>
    <col min="6" max="6" width="8.57421875" style="257" bestFit="1" customWidth="1"/>
    <col min="7" max="7" width="7.7109375" style="263" hidden="1" customWidth="1"/>
    <col min="8" max="8" width="17.57421875" style="261" bestFit="1" customWidth="1"/>
    <col min="9" max="9" width="21.421875" style="261" customWidth="1"/>
    <col min="10" max="10" width="21.00390625" style="187" customWidth="1"/>
    <col min="11" max="11" width="19.00390625" style="188" bestFit="1" customWidth="1"/>
    <col min="12" max="12" width="9.140625" style="187" customWidth="1"/>
    <col min="13" max="13" width="12.7109375" style="187" bestFit="1" customWidth="1"/>
    <col min="14" max="14" width="17.57421875" style="187" bestFit="1" customWidth="1"/>
    <col min="15" max="16384" width="9.140625" style="187" customWidth="1"/>
  </cols>
  <sheetData>
    <row r="1" spans="1:11" s="52" customFormat="1" ht="25.5">
      <c r="A1" s="501" t="str">
        <f>'[2]Resumo'!A1</f>
        <v>R. N. DIAS CONSULTORIA E PROJETOS – ME</v>
      </c>
      <c r="B1" s="501"/>
      <c r="C1" s="501"/>
      <c r="D1" s="501"/>
      <c r="E1" s="501"/>
      <c r="F1" s="501"/>
      <c r="G1" s="501"/>
      <c r="H1" s="501"/>
      <c r="I1" s="501"/>
      <c r="K1" s="53"/>
    </row>
    <row r="2" spans="1:11" s="54" customFormat="1" ht="18" customHeight="1">
      <c r="A2" s="505" t="str">
        <f>'[2]Resumo'!A2</f>
        <v>CNPJ 40.600.695/0001-67</v>
      </c>
      <c r="B2" s="505"/>
      <c r="C2" s="505"/>
      <c r="D2" s="505"/>
      <c r="E2" s="505"/>
      <c r="F2" s="505"/>
      <c r="G2" s="505"/>
      <c r="H2" s="505"/>
      <c r="I2" s="505"/>
      <c r="K2" s="55"/>
    </row>
    <row r="3" spans="1:11" s="47" customFormat="1" ht="15.75">
      <c r="A3" s="506"/>
      <c r="B3" s="506"/>
      <c r="C3" s="506"/>
      <c r="D3" s="506"/>
      <c r="E3" s="506"/>
      <c r="F3" s="506"/>
      <c r="G3" s="506"/>
      <c r="H3" s="506"/>
      <c r="I3" s="506"/>
      <c r="J3" s="45"/>
      <c r="K3" s="46"/>
    </row>
    <row r="4" spans="1:11" s="168" customFormat="1" ht="15" customHeight="1">
      <c r="A4" s="116" t="s">
        <v>17</v>
      </c>
      <c r="B4" s="504" t="str">
        <f>Resumo!C4</f>
        <v>CONSTRUÇÃO DE QUADRA DE BASQUETE STREETBALL, NO MUNICÍPIO DE JACIARA - MT</v>
      </c>
      <c r="C4" s="504"/>
      <c r="D4" s="504"/>
      <c r="E4" s="504"/>
      <c r="F4" s="504"/>
      <c r="G4" s="504"/>
      <c r="H4" s="166" t="s">
        <v>2</v>
      </c>
      <c r="I4" s="167">
        <v>0.2288</v>
      </c>
      <c r="K4" s="169"/>
    </row>
    <row r="5" spans="1:11" s="168" customFormat="1" ht="15" customHeight="1">
      <c r="A5" s="116" t="s">
        <v>47</v>
      </c>
      <c r="B5" s="504" t="str">
        <f>Resumo!C5</f>
        <v>ENTRE AS RUAS 08 E 09, BAIRRO ZÉ ARAÇA, JACIARA - MT  </v>
      </c>
      <c r="C5" s="504"/>
      <c r="D5" s="504"/>
      <c r="E5" s="504"/>
      <c r="F5" s="504"/>
      <c r="G5" s="504"/>
      <c r="H5" s="170" t="s">
        <v>8</v>
      </c>
      <c r="I5" s="171">
        <v>44488</v>
      </c>
      <c r="K5" s="169"/>
    </row>
    <row r="6" spans="1:11" s="168" customFormat="1" ht="15.75" thickBot="1">
      <c r="A6" s="116" t="s">
        <v>18</v>
      </c>
      <c r="B6" s="503" t="s">
        <v>33</v>
      </c>
      <c r="C6" s="503"/>
      <c r="D6" s="172"/>
      <c r="E6" s="173"/>
      <c r="F6" s="172"/>
      <c r="G6" s="174"/>
      <c r="H6" s="175"/>
      <c r="I6" s="176"/>
      <c r="K6" s="169"/>
    </row>
    <row r="7" spans="1:11" s="168" customFormat="1" ht="21" thickBot="1">
      <c r="A7" s="511" t="s">
        <v>48</v>
      </c>
      <c r="B7" s="512"/>
      <c r="C7" s="512"/>
      <c r="D7" s="512"/>
      <c r="E7" s="512"/>
      <c r="F7" s="512"/>
      <c r="G7" s="512"/>
      <c r="H7" s="512"/>
      <c r="I7" s="513"/>
      <c r="K7" s="169"/>
    </row>
    <row r="8" spans="1:11" s="178" customFormat="1" ht="15.75" thickBot="1">
      <c r="A8" s="177"/>
      <c r="B8" s="177"/>
      <c r="C8" s="502" t="s">
        <v>317</v>
      </c>
      <c r="D8" s="502"/>
      <c r="E8" s="502"/>
      <c r="F8" s="502"/>
      <c r="G8" s="502"/>
      <c r="H8" s="502"/>
      <c r="I8" s="502"/>
      <c r="K8" s="179"/>
    </row>
    <row r="9" spans="1:9" ht="31.5" thickBot="1">
      <c r="A9" s="180" t="s">
        <v>19</v>
      </c>
      <c r="B9" s="181" t="s">
        <v>35</v>
      </c>
      <c r="C9" s="182" t="s">
        <v>1</v>
      </c>
      <c r="D9" s="182" t="s">
        <v>23</v>
      </c>
      <c r="E9" s="183" t="s">
        <v>20</v>
      </c>
      <c r="F9" s="182" t="s">
        <v>21</v>
      </c>
      <c r="G9" s="184" t="s">
        <v>21</v>
      </c>
      <c r="H9" s="185" t="s">
        <v>20</v>
      </c>
      <c r="I9" s="186" t="s">
        <v>22</v>
      </c>
    </row>
    <row r="10" spans="1:13" ht="15.75" thickBot="1">
      <c r="A10" s="189" t="s">
        <v>54</v>
      </c>
      <c r="B10" s="508" t="s">
        <v>214</v>
      </c>
      <c r="C10" s="508"/>
      <c r="D10" s="508"/>
      <c r="E10" s="508"/>
      <c r="F10" s="508"/>
      <c r="G10" s="508"/>
      <c r="H10" s="508"/>
      <c r="I10" s="509"/>
      <c r="M10" s="165"/>
    </row>
    <row r="11" spans="1:13" s="212" customFormat="1" ht="15">
      <c r="A11" s="204" t="s">
        <v>318</v>
      </c>
      <c r="B11" s="205"/>
      <c r="C11" s="206" t="s">
        <v>28</v>
      </c>
      <c r="D11" s="207"/>
      <c r="E11" s="208"/>
      <c r="F11" s="209"/>
      <c r="G11" s="210"/>
      <c r="H11" s="200"/>
      <c r="I11" s="211"/>
      <c r="K11" s="213"/>
      <c r="M11" s="165"/>
    </row>
    <row r="12" spans="1:13" ht="30.75">
      <c r="A12" s="190" t="s">
        <v>55</v>
      </c>
      <c r="B12" s="198">
        <v>99059</v>
      </c>
      <c r="C12" s="215" t="s">
        <v>87</v>
      </c>
      <c r="D12" s="157" t="s">
        <v>189</v>
      </c>
      <c r="E12" s="192">
        <v>41.85</v>
      </c>
      <c r="F12" s="159">
        <f>IF(OR(E12&lt;=0)," ",TRUNC(G12,2))</f>
        <v>64.7</v>
      </c>
      <c r="G12" s="160">
        <f>'Memorial de cálculo'!D11</f>
        <v>64.7</v>
      </c>
      <c r="H12" s="161">
        <f>IF(OR(E12&lt;=0)," ",TRUNC((E12*(1+$I$4)),2))</f>
        <v>51.42</v>
      </c>
      <c r="I12" s="162">
        <f>IF(OR(E12&lt;=0)," ",TRUNC((H12*F12),2))</f>
        <v>3326.87</v>
      </c>
      <c r="J12" s="196">
        <f>TRUNC(E12*1.2223,2)</f>
        <v>51.15</v>
      </c>
      <c r="K12" s="188">
        <f>TRUNC(H12*F12,2)</f>
        <v>3326.87</v>
      </c>
      <c r="M12" s="165"/>
    </row>
    <row r="13" spans="1:13" ht="15">
      <c r="A13" s="197"/>
      <c r="B13" s="198"/>
      <c r="C13" s="216"/>
      <c r="D13" s="155"/>
      <c r="E13" s="200"/>
      <c r="F13" s="217"/>
      <c r="G13" s="160"/>
      <c r="H13" s="218" t="s">
        <v>0</v>
      </c>
      <c r="I13" s="219">
        <f>SUM(I12:I12)</f>
        <v>3326.87</v>
      </c>
      <c r="M13" s="165"/>
    </row>
    <row r="14" spans="1:13" s="212" customFormat="1" ht="15">
      <c r="A14" s="204" t="s">
        <v>319</v>
      </c>
      <c r="B14" s="205"/>
      <c r="C14" s="220" t="s">
        <v>63</v>
      </c>
      <c r="D14" s="207"/>
      <c r="E14" s="221"/>
      <c r="F14" s="222" t="str">
        <f aca="true" t="shared" si="0" ref="F14:F19">IF(OR(E14&lt;=0)," ",TRUNC(G14,2))</f>
        <v> </v>
      </c>
      <c r="G14" s="210"/>
      <c r="H14" s="200" t="str">
        <f aca="true" t="shared" si="1" ref="H14:H23">IF(OR(E14&lt;=0)," ",TRUNC((E14*(1+$I$4)),2))</f>
        <v> </v>
      </c>
      <c r="I14" s="211" t="str">
        <f aca="true" t="shared" si="2" ref="I14:I23">IF(OR(E14&lt;=0)," ",TRUNC((H14*F14),2))</f>
        <v> </v>
      </c>
      <c r="K14" s="213"/>
      <c r="M14" s="165"/>
    </row>
    <row r="15" spans="1:14" s="163" customFormat="1" ht="30.75">
      <c r="A15" s="154" t="s">
        <v>320</v>
      </c>
      <c r="B15" s="223">
        <v>97083</v>
      </c>
      <c r="C15" s="224" t="s">
        <v>217</v>
      </c>
      <c r="D15" s="157" t="s">
        <v>187</v>
      </c>
      <c r="E15" s="158">
        <v>2.48</v>
      </c>
      <c r="F15" s="159">
        <f t="shared" si="0"/>
        <v>357.3</v>
      </c>
      <c r="G15" s="160">
        <f>'Memorial de cálculo'!D14</f>
        <v>357.3</v>
      </c>
      <c r="H15" s="161">
        <f t="shared" si="1"/>
        <v>3.04</v>
      </c>
      <c r="I15" s="162">
        <f t="shared" si="2"/>
        <v>1086.19</v>
      </c>
      <c r="J15" s="196">
        <f>TRUNC(E15*1.2223,2)</f>
        <v>3.03</v>
      </c>
      <c r="K15" s="188">
        <f>TRUNC(H15*F15,2)</f>
        <v>1086.19</v>
      </c>
      <c r="M15" s="165">
        <v>357.3</v>
      </c>
      <c r="N15" s="225">
        <f>M15-F15</f>
        <v>0</v>
      </c>
    </row>
    <row r="16" spans="1:14" s="163" customFormat="1" ht="47.25" customHeight="1">
      <c r="A16" s="154" t="s">
        <v>321</v>
      </c>
      <c r="B16" s="223">
        <v>94990</v>
      </c>
      <c r="C16" s="224" t="s">
        <v>88</v>
      </c>
      <c r="D16" s="157" t="s">
        <v>194</v>
      </c>
      <c r="E16" s="158">
        <v>623.67</v>
      </c>
      <c r="F16" s="159">
        <f t="shared" si="0"/>
        <v>6.12</v>
      </c>
      <c r="G16" s="160">
        <f>'Memorial de cálculo'!D17</f>
        <v>6.12</v>
      </c>
      <c r="H16" s="161">
        <f t="shared" si="1"/>
        <v>766.36</v>
      </c>
      <c r="I16" s="162">
        <f t="shared" si="2"/>
        <v>4690.12</v>
      </c>
      <c r="J16" s="196">
        <f aca="true" t="shared" si="3" ref="J16:J23">TRUNC(E16*1.2223,2)</f>
        <v>762.31</v>
      </c>
      <c r="K16" s="188">
        <f aca="true" t="shared" si="4" ref="K16:K23">TRUNC(H16*F16,2)</f>
        <v>4690.12</v>
      </c>
      <c r="M16" s="165">
        <v>6.12</v>
      </c>
      <c r="N16" s="225">
        <f aca="true" t="shared" si="5" ref="N16:N23">M16-F16</f>
        <v>0</v>
      </c>
    </row>
    <row r="17" spans="1:14" s="163" customFormat="1" ht="30.75">
      <c r="A17" s="154" t="s">
        <v>322</v>
      </c>
      <c r="B17" s="223">
        <v>96620</v>
      </c>
      <c r="C17" s="224" t="s">
        <v>64</v>
      </c>
      <c r="D17" s="157" t="s">
        <v>194</v>
      </c>
      <c r="E17" s="158">
        <v>469.15</v>
      </c>
      <c r="F17" s="159">
        <f t="shared" si="0"/>
        <v>7.65</v>
      </c>
      <c r="G17" s="160">
        <f>'Memorial de cálculo'!D20</f>
        <v>7.65</v>
      </c>
      <c r="H17" s="161">
        <f t="shared" si="1"/>
        <v>576.49</v>
      </c>
      <c r="I17" s="162">
        <f t="shared" si="2"/>
        <v>4410.14</v>
      </c>
      <c r="J17" s="196">
        <f t="shared" si="3"/>
        <v>573.44</v>
      </c>
      <c r="K17" s="188">
        <f t="shared" si="4"/>
        <v>4410.14</v>
      </c>
      <c r="M17" s="165">
        <v>7.65</v>
      </c>
      <c r="N17" s="225">
        <f t="shared" si="5"/>
        <v>0</v>
      </c>
    </row>
    <row r="18" spans="1:14" ht="30.75">
      <c r="A18" s="154" t="s">
        <v>323</v>
      </c>
      <c r="B18" s="214">
        <v>97086</v>
      </c>
      <c r="C18" s="191" t="s">
        <v>90</v>
      </c>
      <c r="D18" s="214" t="s">
        <v>187</v>
      </c>
      <c r="E18" s="158">
        <v>89.89</v>
      </c>
      <c r="F18" s="193">
        <f t="shared" si="0"/>
        <v>6</v>
      </c>
      <c r="G18" s="194">
        <f>'Memorial de cálculo'!D23</f>
        <v>6</v>
      </c>
      <c r="H18" s="158">
        <f t="shared" si="1"/>
        <v>110.45</v>
      </c>
      <c r="I18" s="195">
        <f t="shared" si="2"/>
        <v>662.7</v>
      </c>
      <c r="J18" s="196">
        <f t="shared" si="3"/>
        <v>109.87</v>
      </c>
      <c r="K18" s="188">
        <f t="shared" si="4"/>
        <v>662.7</v>
      </c>
      <c r="M18" s="165">
        <v>6</v>
      </c>
      <c r="N18" s="225">
        <f t="shared" si="5"/>
        <v>0</v>
      </c>
    </row>
    <row r="19" spans="1:14" s="163" customFormat="1" ht="46.5">
      <c r="A19" s="154" t="s">
        <v>324</v>
      </c>
      <c r="B19" s="155">
        <v>94995</v>
      </c>
      <c r="C19" s="215" t="s">
        <v>184</v>
      </c>
      <c r="D19" s="157" t="s">
        <v>187</v>
      </c>
      <c r="E19" s="158">
        <v>110.76</v>
      </c>
      <c r="F19" s="159">
        <f t="shared" si="0"/>
        <v>255.21</v>
      </c>
      <c r="G19" s="160">
        <f>'Memorial de cálculo'!D26</f>
        <v>255.21</v>
      </c>
      <c r="H19" s="161">
        <f t="shared" si="1"/>
        <v>136.1</v>
      </c>
      <c r="I19" s="162">
        <f t="shared" si="2"/>
        <v>34734.08</v>
      </c>
      <c r="J19" s="196">
        <f t="shared" si="3"/>
        <v>135.38</v>
      </c>
      <c r="K19" s="188">
        <f t="shared" si="4"/>
        <v>34734.08</v>
      </c>
      <c r="M19" s="193">
        <v>255.21</v>
      </c>
      <c r="N19" s="225">
        <f t="shared" si="5"/>
        <v>0</v>
      </c>
    </row>
    <row r="20" spans="1:14" ht="15">
      <c r="A20" s="154" t="s">
        <v>325</v>
      </c>
      <c r="B20" s="198" t="str">
        <f>COMPOSIÇÕES!A11</f>
        <v>COMP. 005</v>
      </c>
      <c r="C20" s="191" t="str">
        <f>COMPOSIÇÕES!B12</f>
        <v>TRATAMENTO EM  CONCRETO COM ESTUQUE E LIXAMENTO</v>
      </c>
      <c r="D20" s="214" t="str">
        <f>COMPOSIÇÕES!C12</f>
        <v>M2</v>
      </c>
      <c r="E20" s="158">
        <f>COMPOSIÇÕES!F20</f>
        <v>30.6</v>
      </c>
      <c r="F20" s="193">
        <f>'Memorial de cálculo'!D29</f>
        <v>255.21</v>
      </c>
      <c r="G20" s="194">
        <f>'Memorial de cálculo'!D29</f>
        <v>255.21</v>
      </c>
      <c r="H20" s="158">
        <f t="shared" si="1"/>
        <v>37.6</v>
      </c>
      <c r="I20" s="195">
        <f t="shared" si="2"/>
        <v>9595.89</v>
      </c>
      <c r="J20" s="196">
        <f t="shared" si="3"/>
        <v>37.4</v>
      </c>
      <c r="K20" s="188">
        <f t="shared" si="4"/>
        <v>9595.89</v>
      </c>
      <c r="M20" s="159">
        <v>255.21</v>
      </c>
      <c r="N20" s="225">
        <f t="shared" si="5"/>
        <v>0</v>
      </c>
    </row>
    <row r="21" spans="1:14" s="163" customFormat="1" ht="30.75">
      <c r="A21" s="154" t="s">
        <v>326</v>
      </c>
      <c r="B21" s="155">
        <v>102494</v>
      </c>
      <c r="C21" s="215" t="s">
        <v>220</v>
      </c>
      <c r="D21" s="157" t="s">
        <v>187</v>
      </c>
      <c r="E21" s="158">
        <v>36.58</v>
      </c>
      <c r="F21" s="159">
        <f>IF(OR(E21&lt;=0)," ",TRUNC(G21,2))</f>
        <v>255.21</v>
      </c>
      <c r="G21" s="160">
        <f>'Memorial de cálculo'!D32</f>
        <v>255.21</v>
      </c>
      <c r="H21" s="161">
        <f t="shared" si="1"/>
        <v>44.94</v>
      </c>
      <c r="I21" s="162">
        <f t="shared" si="2"/>
        <v>11469.13</v>
      </c>
      <c r="J21" s="196">
        <f t="shared" si="3"/>
        <v>44.71</v>
      </c>
      <c r="K21" s="188">
        <f t="shared" si="4"/>
        <v>11469.13</v>
      </c>
      <c r="M21" s="159">
        <v>103.14</v>
      </c>
      <c r="N21" s="225">
        <f t="shared" si="5"/>
        <v>-152.07</v>
      </c>
    </row>
    <row r="22" spans="1:14" s="163" customFormat="1" ht="30.75">
      <c r="A22" s="154" t="s">
        <v>327</v>
      </c>
      <c r="B22" s="155">
        <v>102506</v>
      </c>
      <c r="C22" s="215" t="s">
        <v>221</v>
      </c>
      <c r="D22" s="157" t="s">
        <v>189</v>
      </c>
      <c r="E22" s="158">
        <v>7.81</v>
      </c>
      <c r="F22" s="159">
        <f>IF(OR(E22&lt;=0)," ",TRUNC(G22,2))</f>
        <v>103.14</v>
      </c>
      <c r="G22" s="160">
        <f>'Memorial de cálculo'!D35</f>
        <v>103.14</v>
      </c>
      <c r="H22" s="161">
        <f t="shared" si="1"/>
        <v>9.59</v>
      </c>
      <c r="I22" s="162">
        <f t="shared" si="2"/>
        <v>989.11</v>
      </c>
      <c r="J22" s="196">
        <f t="shared" si="3"/>
        <v>9.54</v>
      </c>
      <c r="K22" s="188">
        <f t="shared" si="4"/>
        <v>989.11</v>
      </c>
      <c r="M22" s="159">
        <v>291.5</v>
      </c>
      <c r="N22" s="225">
        <f t="shared" si="5"/>
        <v>188.36</v>
      </c>
    </row>
    <row r="23" spans="1:14" s="163" customFormat="1" ht="15">
      <c r="A23" s="154" t="s">
        <v>328</v>
      </c>
      <c r="B23" s="155">
        <v>98504</v>
      </c>
      <c r="C23" s="215" t="s">
        <v>185</v>
      </c>
      <c r="D23" s="157" t="s">
        <v>187</v>
      </c>
      <c r="E23" s="158">
        <v>11.75</v>
      </c>
      <c r="F23" s="159">
        <f>IF(OR(E23&lt;=0)," ",TRUNC(G23,2))</f>
        <v>291.5</v>
      </c>
      <c r="G23" s="160">
        <f>'Memorial de cálculo'!D38</f>
        <v>291.5</v>
      </c>
      <c r="H23" s="161">
        <f t="shared" si="1"/>
        <v>14.43</v>
      </c>
      <c r="I23" s="162">
        <f t="shared" si="2"/>
        <v>4206.34</v>
      </c>
      <c r="J23" s="196">
        <f t="shared" si="3"/>
        <v>14.36</v>
      </c>
      <c r="K23" s="188">
        <f t="shared" si="4"/>
        <v>4206.34</v>
      </c>
      <c r="M23" s="159">
        <v>14.57</v>
      </c>
      <c r="N23" s="225">
        <f t="shared" si="5"/>
        <v>-276.93</v>
      </c>
    </row>
    <row r="24" spans="1:14" s="163" customFormat="1" ht="30.75">
      <c r="A24" s="154" t="s">
        <v>329</v>
      </c>
      <c r="B24" s="155">
        <v>98516</v>
      </c>
      <c r="C24" s="156" t="s">
        <v>314</v>
      </c>
      <c r="D24" s="157" t="s">
        <v>23</v>
      </c>
      <c r="E24" s="158">
        <v>311.21</v>
      </c>
      <c r="F24" s="159">
        <f>'Memorial de cálculo'!D44</f>
        <v>6</v>
      </c>
      <c r="G24" s="160" t="str">
        <f>'[2]Memorial de cálculo'!D57</f>
        <v>TOTAL</v>
      </c>
      <c r="H24" s="161">
        <f>IF(OR(E24&lt;=0)," ",TRUNC((E24*(1+$I$4)),2))</f>
        <v>382.41</v>
      </c>
      <c r="I24" s="162">
        <f>IF(OR(E24&lt;=0)," ",TRUNC((H24*F24),2))</f>
        <v>2294.46</v>
      </c>
      <c r="K24" s="164"/>
      <c r="M24" s="165">
        <v>14.57</v>
      </c>
      <c r="N24" s="225"/>
    </row>
    <row r="25" spans="1:14" ht="15">
      <c r="A25" s="197"/>
      <c r="B25" s="198"/>
      <c r="C25" s="199"/>
      <c r="D25" s="226"/>
      <c r="E25" s="200"/>
      <c r="F25" s="227"/>
      <c r="G25" s="210"/>
      <c r="H25" s="202" t="s">
        <v>0</v>
      </c>
      <c r="I25" s="203">
        <f>SUM(I15:I24)</f>
        <v>74138.16</v>
      </c>
      <c r="K25" s="188">
        <f>SUM(K15:K23)</f>
        <v>71843.7</v>
      </c>
      <c r="M25" s="165">
        <v>6</v>
      </c>
      <c r="N25" s="225"/>
    </row>
    <row r="26" spans="1:13" ht="15">
      <c r="A26" s="204" t="s">
        <v>330</v>
      </c>
      <c r="B26" s="198"/>
      <c r="C26" s="228" t="s">
        <v>65</v>
      </c>
      <c r="D26" s="226"/>
      <c r="E26" s="200"/>
      <c r="F26" s="227"/>
      <c r="G26" s="210"/>
      <c r="H26" s="202"/>
      <c r="I26" s="203"/>
      <c r="M26" s="165"/>
    </row>
    <row r="27" spans="1:13" s="212" customFormat="1" ht="15">
      <c r="A27" s="229" t="s">
        <v>331</v>
      </c>
      <c r="B27" s="205"/>
      <c r="C27" s="220" t="s">
        <v>66</v>
      </c>
      <c r="D27" s="207"/>
      <c r="E27" s="221"/>
      <c r="F27" s="222" t="str">
        <f>IF(OR(E27&lt;=0)," ",TRUNC(G27,2))</f>
        <v> </v>
      </c>
      <c r="G27" s="210"/>
      <c r="H27" s="200" t="str">
        <f>IF(OR(E27&lt;=0)," ",TRUNC((E27*(1+$I$4)),2))</f>
        <v> </v>
      </c>
      <c r="I27" s="211" t="str">
        <f>IF(OR(E27&lt;=0)," ",TRUNC((H27*F27),2))</f>
        <v> </v>
      </c>
      <c r="K27" s="213"/>
      <c r="M27" s="165"/>
    </row>
    <row r="28" spans="1:13" s="212" customFormat="1" ht="15">
      <c r="A28" s="230" t="s">
        <v>332</v>
      </c>
      <c r="B28" s="231">
        <v>97082</v>
      </c>
      <c r="C28" s="232" t="s">
        <v>107</v>
      </c>
      <c r="D28" s="233" t="s">
        <v>194</v>
      </c>
      <c r="E28" s="234">
        <v>45.44</v>
      </c>
      <c r="F28" s="193">
        <f>IF(OR(E28&lt;=0)," ",TRUNC(G28,2))</f>
        <v>0.19</v>
      </c>
      <c r="G28" s="194">
        <f>'Memorial de cálculo'!D56</f>
        <v>0.19</v>
      </c>
      <c r="H28" s="158">
        <f>IF(OR(E28&lt;=0)," ",TRUNC((E28*(1+$I$4)),2))</f>
        <v>55.83</v>
      </c>
      <c r="I28" s="195">
        <f>IF(OR(E28&lt;=0)," ",TRUNC((H28*F28),2))</f>
        <v>10.6</v>
      </c>
      <c r="J28" s="212" t="s">
        <v>113</v>
      </c>
      <c r="K28" s="213">
        <f>TRUNC(E28*1.2223,2)</f>
        <v>55.54</v>
      </c>
      <c r="L28" s="212">
        <f>TRUNC(H28*F28,2)</f>
        <v>10.6</v>
      </c>
      <c r="M28" s="165"/>
    </row>
    <row r="29" spans="1:13" s="212" customFormat="1" ht="30.75">
      <c r="A29" s="230" t="s">
        <v>333</v>
      </c>
      <c r="B29" s="231">
        <v>101616</v>
      </c>
      <c r="C29" s="232" t="s">
        <v>186</v>
      </c>
      <c r="D29" s="233" t="s">
        <v>187</v>
      </c>
      <c r="E29" s="234">
        <v>4.54</v>
      </c>
      <c r="F29" s="193">
        <f>IF(OR(E29&lt;=0)," ",TRUNC(G29,2))</f>
        <v>3.97</v>
      </c>
      <c r="G29" s="194">
        <f>'Memorial de cálculo'!D59</f>
        <v>3.97</v>
      </c>
      <c r="H29" s="158">
        <f>IF(OR(E29&lt;=0)," ",TRUNC((E29*(1+$I$4)),2))</f>
        <v>5.57</v>
      </c>
      <c r="I29" s="195">
        <f>IF(OR(E29&lt;=0)," ",TRUNC((H29*F29),2))</f>
        <v>22.11</v>
      </c>
      <c r="J29" s="212" t="s">
        <v>113</v>
      </c>
      <c r="K29" s="213">
        <f>TRUNC(E29*1.2223,2)</f>
        <v>5.54</v>
      </c>
      <c r="L29" s="212">
        <f>TRUNC(H29*F29,2)</f>
        <v>22.11</v>
      </c>
      <c r="M29" s="165"/>
    </row>
    <row r="30" spans="1:13" ht="15">
      <c r="A30" s="197"/>
      <c r="B30" s="198"/>
      <c r="C30" s="199"/>
      <c r="D30" s="226"/>
      <c r="E30" s="200"/>
      <c r="F30" s="227"/>
      <c r="G30" s="210"/>
      <c r="H30" s="202" t="s">
        <v>0</v>
      </c>
      <c r="I30" s="203">
        <f>SUM(I28:I29)</f>
        <v>32.71</v>
      </c>
      <c r="L30" s="187">
        <f>L28+L29</f>
        <v>32.71</v>
      </c>
      <c r="M30" s="165"/>
    </row>
    <row r="31" spans="1:13" ht="15">
      <c r="A31" s="229" t="s">
        <v>334</v>
      </c>
      <c r="B31" s="205"/>
      <c r="C31" s="220" t="s">
        <v>45</v>
      </c>
      <c r="D31" s="207"/>
      <c r="E31" s="221"/>
      <c r="F31" s="222" t="str">
        <f aca="true" t="shared" si="6" ref="F31:F36">IF(OR(E31&lt;=0)," ",TRUNC(G31,2))</f>
        <v> </v>
      </c>
      <c r="G31" s="210"/>
      <c r="H31" s="200" t="str">
        <f aca="true" t="shared" si="7" ref="H31:H36">IF(OR(E31&lt;=0)," ",TRUNC((E31*(1+$I$4)),2))</f>
        <v> </v>
      </c>
      <c r="I31" s="211" t="str">
        <f aca="true" t="shared" si="8" ref="I31:I36">IF(OR(E31&lt;=0)," ",TRUNC((H31*F31),2))</f>
        <v> </v>
      </c>
      <c r="M31" s="165"/>
    </row>
    <row r="32" spans="1:13" ht="30.75">
      <c r="A32" s="230" t="s">
        <v>335</v>
      </c>
      <c r="B32" s="231" t="str">
        <f>COMPOSIÇÕES!A81</f>
        <v>COMP. 012</v>
      </c>
      <c r="C32" s="232" t="str">
        <f>COMPOSIÇÕES!B82</f>
        <v>ESTACA BROCA DE CONCRETO, DIÂMETRO DE 20CM, ESCAVAÇÃO MANUAL COM TRADO CONCHA,SEM ARMAÇÃO</v>
      </c>
      <c r="D32" s="233" t="s">
        <v>189</v>
      </c>
      <c r="E32" s="234">
        <f>COMPOSIÇÕES!F86</f>
        <v>35.81</v>
      </c>
      <c r="F32" s="193">
        <f t="shared" si="6"/>
        <v>13</v>
      </c>
      <c r="G32" s="194">
        <f>'Memorial de cálculo'!D47</f>
        <v>13</v>
      </c>
      <c r="H32" s="158">
        <f t="shared" si="7"/>
        <v>44</v>
      </c>
      <c r="I32" s="195">
        <f t="shared" si="8"/>
        <v>572</v>
      </c>
      <c r="J32" s="196">
        <f>TRUNC(E32*1.2223,2)</f>
        <v>43.77</v>
      </c>
      <c r="K32" s="188">
        <f>TRUNC(H32*F32,2)</f>
        <v>572</v>
      </c>
      <c r="M32" s="165"/>
    </row>
    <row r="33" spans="1:13" ht="15">
      <c r="A33" s="230" t="s">
        <v>336</v>
      </c>
      <c r="B33" s="231" t="str">
        <f>COMPOSIÇÕES!A22</f>
        <v>COMP. 006</v>
      </c>
      <c r="C33" s="232" t="str">
        <f>COMPOSIÇÕES!B23</f>
        <v>ARMAÇÃO UTILIZANDO AÇO CA-60 DE 5,0 MM - MONTAGEM. </v>
      </c>
      <c r="D33" s="233" t="s">
        <v>191</v>
      </c>
      <c r="E33" s="234">
        <f>COMPOSIÇÕES!F29</f>
        <v>17.7</v>
      </c>
      <c r="F33" s="193">
        <f t="shared" si="6"/>
        <v>12</v>
      </c>
      <c r="G33" s="194">
        <f>'Memorial de cálculo'!D50</f>
        <v>12</v>
      </c>
      <c r="H33" s="158">
        <f t="shared" si="7"/>
        <v>21.74</v>
      </c>
      <c r="I33" s="195">
        <f t="shared" si="8"/>
        <v>260.88</v>
      </c>
      <c r="J33" s="196">
        <f>TRUNC(E33*1.2223,2)</f>
        <v>21.63</v>
      </c>
      <c r="K33" s="188">
        <f>TRUNC(H33*F33,2)</f>
        <v>260.88</v>
      </c>
      <c r="M33" s="165"/>
    </row>
    <row r="34" spans="1:13" ht="15">
      <c r="A34" s="230" t="s">
        <v>337</v>
      </c>
      <c r="B34" s="231" t="str">
        <f>COMPOSIÇÕES!A31</f>
        <v>COMP. 007</v>
      </c>
      <c r="C34" s="232" t="str">
        <f>COMPOSIÇÕES!B32</f>
        <v>ARMAÇÃO UTILIZANDO AÇO CA-50 DE 10,0 MM - MONTAGEM. </v>
      </c>
      <c r="D34" s="233" t="s">
        <v>191</v>
      </c>
      <c r="E34" s="234">
        <f>COMPOSIÇÕES!F38</f>
        <v>16.53</v>
      </c>
      <c r="F34" s="193">
        <f t="shared" si="6"/>
        <v>30.15</v>
      </c>
      <c r="G34" s="194">
        <f>'Memorial de cálculo'!D53</f>
        <v>30.15</v>
      </c>
      <c r="H34" s="158">
        <f t="shared" si="7"/>
        <v>20.31</v>
      </c>
      <c r="I34" s="195">
        <f t="shared" si="8"/>
        <v>612.34</v>
      </c>
      <c r="J34" s="196">
        <f>TRUNC(E34*1.2223,2)</f>
        <v>20.2</v>
      </c>
      <c r="K34" s="188">
        <f>TRUNC(H34*F34,2)</f>
        <v>612.34</v>
      </c>
      <c r="M34" s="165"/>
    </row>
    <row r="35" spans="1:13" ht="30.75">
      <c r="A35" s="230" t="s">
        <v>338</v>
      </c>
      <c r="B35" s="231">
        <v>96616</v>
      </c>
      <c r="C35" s="232" t="s">
        <v>112</v>
      </c>
      <c r="D35" s="233" t="s">
        <v>194</v>
      </c>
      <c r="E35" s="234">
        <v>487.86</v>
      </c>
      <c r="F35" s="193">
        <f t="shared" si="6"/>
        <v>0.19</v>
      </c>
      <c r="G35" s="194">
        <f>'Memorial de cálculo'!D62</f>
        <v>0.19</v>
      </c>
      <c r="H35" s="158">
        <f t="shared" si="7"/>
        <v>599.48</v>
      </c>
      <c r="I35" s="195">
        <f t="shared" si="8"/>
        <v>113.9</v>
      </c>
      <c r="J35" s="196">
        <f>TRUNC(E35*1.2223,2)</f>
        <v>596.31</v>
      </c>
      <c r="K35" s="188">
        <f>TRUNC(H35*F35,2)</f>
        <v>113.9</v>
      </c>
      <c r="M35" s="165"/>
    </row>
    <row r="36" spans="1:13" ht="30.75">
      <c r="A36" s="230" t="s">
        <v>339</v>
      </c>
      <c r="B36" s="231" t="str">
        <f>COMPOSIÇÕES!A49</f>
        <v>COMP. 009</v>
      </c>
      <c r="C36" s="232" t="str">
        <f>COMPOSIÇÕES!B50</f>
        <v>MURETA EM BLOCO CANALETA DE CONCRETO DE 14X19X39CM ENCHIMENTO COM GRAUTE FCK 20MPA E FERRO DE 8.0MM CORRIDO</v>
      </c>
      <c r="D36" s="233" t="s">
        <v>189</v>
      </c>
      <c r="E36" s="234">
        <f>COMPOSIÇÕES!F57</f>
        <v>33.86</v>
      </c>
      <c r="F36" s="193">
        <f t="shared" si="6"/>
        <v>28.4</v>
      </c>
      <c r="G36" s="194">
        <f>'Memorial de cálculo'!D65</f>
        <v>28.4</v>
      </c>
      <c r="H36" s="158">
        <f t="shared" si="7"/>
        <v>41.6</v>
      </c>
      <c r="I36" s="195">
        <f t="shared" si="8"/>
        <v>1181.44</v>
      </c>
      <c r="J36" s="196">
        <f>TRUNC(E36*1.2223,2)</f>
        <v>41.38</v>
      </c>
      <c r="K36" s="188">
        <f>TRUNC(H36*F36,2)</f>
        <v>1181.44</v>
      </c>
      <c r="M36" s="165"/>
    </row>
    <row r="37" spans="1:13" ht="15">
      <c r="A37" s="197"/>
      <c r="B37" s="198"/>
      <c r="C37" s="199"/>
      <c r="D37" s="198"/>
      <c r="E37" s="200"/>
      <c r="F37" s="201"/>
      <c r="G37" s="194"/>
      <c r="H37" s="202" t="s">
        <v>0</v>
      </c>
      <c r="I37" s="203">
        <f>SUM(I32:I36)</f>
        <v>2740.5600000000004</v>
      </c>
      <c r="K37" s="188">
        <f>SUM(K32:K36)</f>
        <v>2740.5600000000004</v>
      </c>
      <c r="M37" s="165"/>
    </row>
    <row r="38" spans="1:13" ht="15">
      <c r="A38" s="229" t="s">
        <v>340</v>
      </c>
      <c r="B38" s="205"/>
      <c r="C38" s="220" t="s">
        <v>67</v>
      </c>
      <c r="D38" s="235"/>
      <c r="E38" s="221"/>
      <c r="F38" s="193" t="str">
        <f>IF(OR(E38&lt;=0)," ",TRUNC(G38,2))</f>
        <v> </v>
      </c>
      <c r="G38" s="194"/>
      <c r="H38" s="158" t="str">
        <f>IF(OR(E38&lt;=0)," ",TRUNC((E38*(1+$I$4)),2))</f>
        <v> </v>
      </c>
      <c r="I38" s="195" t="str">
        <f>IF(OR(E38&lt;=0)," ",TRUNC((H38*F38),2))</f>
        <v> </v>
      </c>
      <c r="M38" s="165"/>
    </row>
    <row r="39" spans="1:13" ht="60" customHeight="1">
      <c r="A39" s="230" t="s">
        <v>341</v>
      </c>
      <c r="B39" s="198">
        <v>102362</v>
      </c>
      <c r="C39" s="236" t="s">
        <v>298</v>
      </c>
      <c r="D39" s="214" t="s">
        <v>187</v>
      </c>
      <c r="E39" s="158">
        <v>179.78</v>
      </c>
      <c r="F39" s="193">
        <f>IF(OR(E39&lt;=0)," ",TRUNC(G39,2))</f>
        <v>140.35</v>
      </c>
      <c r="G39" s="194">
        <f>'Memorial de cálculo'!D68</f>
        <v>140.35</v>
      </c>
      <c r="H39" s="158">
        <f>IF(OR(E39&lt;=0)," ",TRUNC((E39*(1+$I$4)),2))</f>
        <v>220.91</v>
      </c>
      <c r="I39" s="195">
        <f>IF(OR(E39&lt;=0)," ",TRUNC((H39*F39),2))</f>
        <v>31004.71</v>
      </c>
      <c r="J39" s="196">
        <f>TRUNC(E39*1.2223,2)</f>
        <v>219.74</v>
      </c>
      <c r="K39" s="188">
        <f>TRUNC(H39*F39,2)</f>
        <v>31004.71</v>
      </c>
      <c r="M39" s="165"/>
    </row>
    <row r="40" spans="1:13" ht="15">
      <c r="A40" s="197"/>
      <c r="B40" s="198"/>
      <c r="C40" s="199"/>
      <c r="D40" s="198"/>
      <c r="E40" s="200"/>
      <c r="F40" s="201"/>
      <c r="G40" s="194"/>
      <c r="H40" s="202" t="s">
        <v>0</v>
      </c>
      <c r="I40" s="203">
        <f>SUM(I39:I39)</f>
        <v>31004.71</v>
      </c>
      <c r="M40" s="165"/>
    </row>
    <row r="41" spans="1:13" ht="15">
      <c r="A41" s="197"/>
      <c r="B41" s="198"/>
      <c r="C41" s="514" t="s">
        <v>300</v>
      </c>
      <c r="D41" s="514"/>
      <c r="E41" s="514"/>
      <c r="F41" s="514"/>
      <c r="G41" s="514"/>
      <c r="H41" s="514"/>
      <c r="I41" s="203">
        <f>I30+I37+I40</f>
        <v>33777.979999999996</v>
      </c>
      <c r="M41" s="165"/>
    </row>
    <row r="42" spans="1:13" ht="15">
      <c r="A42" s="229" t="s">
        <v>342</v>
      </c>
      <c r="B42" s="205"/>
      <c r="C42" s="220" t="s">
        <v>279</v>
      </c>
      <c r="D42" s="207"/>
      <c r="E42" s="221"/>
      <c r="F42" s="222" t="str">
        <f>IF(OR(E42&lt;=0)," ",TRUNC(G42,2))</f>
        <v> </v>
      </c>
      <c r="G42" s="210"/>
      <c r="H42" s="200" t="str">
        <f>IF(OR(E42&lt;=0)," ",TRUNC((E42*(1+$I$4)),2))</f>
        <v> </v>
      </c>
      <c r="I42" s="211" t="str">
        <f>IF(OR(E42&lt;=0)," ",TRUNC((H42*F42),2))</f>
        <v> </v>
      </c>
      <c r="M42" s="165"/>
    </row>
    <row r="43" spans="1:13" ht="15">
      <c r="A43" s="229" t="s">
        <v>343</v>
      </c>
      <c r="B43" s="205"/>
      <c r="C43" s="220" t="s">
        <v>45</v>
      </c>
      <c r="D43" s="207"/>
      <c r="E43" s="221"/>
      <c r="F43" s="222"/>
      <c r="G43" s="210"/>
      <c r="H43" s="200"/>
      <c r="I43" s="211"/>
      <c r="M43" s="165"/>
    </row>
    <row r="44" spans="1:13" ht="30.75">
      <c r="A44" s="230" t="s">
        <v>344</v>
      </c>
      <c r="B44" s="237">
        <v>93358</v>
      </c>
      <c r="C44" s="191" t="s">
        <v>91</v>
      </c>
      <c r="D44" s="214" t="s">
        <v>194</v>
      </c>
      <c r="E44" s="192">
        <v>61.91</v>
      </c>
      <c r="F44" s="193">
        <f>'Memorial de cálculo'!D74</f>
        <v>0.82</v>
      </c>
      <c r="G44" s="210"/>
      <c r="H44" s="158">
        <f>IF(OR(E44&lt;=0)," ",TRUNC((E44*(1+$I$4)),2))</f>
        <v>76.07</v>
      </c>
      <c r="I44" s="195">
        <f>IF(OR(E44&lt;=0)," ",TRUNC((H44*F44),2))</f>
        <v>62.37</v>
      </c>
      <c r="J44" s="196">
        <f aca="true" t="shared" si="9" ref="J44:J52">TRUNC(E44*1.2223,2)</f>
        <v>75.67</v>
      </c>
      <c r="K44" s="188">
        <f aca="true" t="shared" si="10" ref="K44:K53">TRUNC(H44*F44,2)</f>
        <v>62.37</v>
      </c>
      <c r="M44" s="165"/>
    </row>
    <row r="45" spans="1:13" ht="46.5">
      <c r="A45" s="230" t="s">
        <v>345</v>
      </c>
      <c r="B45" s="237">
        <v>94962</v>
      </c>
      <c r="C45" s="191" t="s">
        <v>269</v>
      </c>
      <c r="D45" s="214" t="s">
        <v>194</v>
      </c>
      <c r="E45" s="192">
        <v>300.69</v>
      </c>
      <c r="F45" s="193">
        <f>'Memorial de cálculo'!D75</f>
        <v>0.07</v>
      </c>
      <c r="G45" s="210"/>
      <c r="H45" s="158">
        <f aca="true" t="shared" si="11" ref="H45:H53">IF(OR(E45&lt;=0)," ",TRUNC((E45*(1+$I$4)),2))</f>
        <v>369.48</v>
      </c>
      <c r="I45" s="195">
        <f aca="true" t="shared" si="12" ref="I45:I53">IF(OR(E45&lt;=0)," ",TRUNC((H45*F45),2))</f>
        <v>25.86</v>
      </c>
      <c r="J45" s="196">
        <f t="shared" si="9"/>
        <v>367.53</v>
      </c>
      <c r="K45" s="188">
        <f t="shared" si="10"/>
        <v>25.86</v>
      </c>
      <c r="M45" s="165"/>
    </row>
    <row r="46" spans="1:13" ht="46.5">
      <c r="A46" s="230" t="s">
        <v>346</v>
      </c>
      <c r="B46" s="237">
        <v>96531</v>
      </c>
      <c r="C46" s="191" t="s">
        <v>282</v>
      </c>
      <c r="D46" s="214" t="s">
        <v>187</v>
      </c>
      <c r="E46" s="192">
        <v>90.57</v>
      </c>
      <c r="F46" s="193">
        <f>'Memorial de cálculo'!D76</f>
        <v>2.5</v>
      </c>
      <c r="G46" s="210"/>
      <c r="H46" s="158">
        <f t="shared" si="11"/>
        <v>111.29</v>
      </c>
      <c r="I46" s="195">
        <f t="shared" si="12"/>
        <v>278.22</v>
      </c>
      <c r="J46" s="196">
        <f t="shared" si="9"/>
        <v>110.7</v>
      </c>
      <c r="K46" s="188">
        <f t="shared" si="10"/>
        <v>278.22</v>
      </c>
      <c r="M46" s="165"/>
    </row>
    <row r="47" spans="1:13" ht="46.5">
      <c r="A47" s="230" t="s">
        <v>347</v>
      </c>
      <c r="B47" s="237">
        <v>94965</v>
      </c>
      <c r="C47" s="191" t="s">
        <v>230</v>
      </c>
      <c r="D47" s="214" t="s">
        <v>194</v>
      </c>
      <c r="E47" s="192">
        <v>393.57</v>
      </c>
      <c r="F47" s="193">
        <f>'Memorial de cálculo'!D77</f>
        <v>0.75</v>
      </c>
      <c r="G47" s="210"/>
      <c r="H47" s="158">
        <f t="shared" si="11"/>
        <v>483.61</v>
      </c>
      <c r="I47" s="195">
        <f t="shared" si="12"/>
        <v>362.7</v>
      </c>
      <c r="J47" s="196">
        <f t="shared" si="9"/>
        <v>481.06</v>
      </c>
      <c r="K47" s="188">
        <f t="shared" si="10"/>
        <v>362.7</v>
      </c>
      <c r="M47" s="165"/>
    </row>
    <row r="48" spans="1:13" ht="30.75">
      <c r="A48" s="230" t="s">
        <v>348</v>
      </c>
      <c r="B48" s="237">
        <v>101616</v>
      </c>
      <c r="C48" s="191" t="s">
        <v>186</v>
      </c>
      <c r="D48" s="214" t="s">
        <v>187</v>
      </c>
      <c r="E48" s="192">
        <v>4.54</v>
      </c>
      <c r="F48" s="193">
        <f>'Memorial de cálculo'!D79</f>
        <v>1.5</v>
      </c>
      <c r="G48" s="210"/>
      <c r="H48" s="158">
        <f t="shared" si="11"/>
        <v>5.57</v>
      </c>
      <c r="I48" s="195">
        <f t="shared" si="12"/>
        <v>8.35</v>
      </c>
      <c r="J48" s="196">
        <f t="shared" si="9"/>
        <v>5.54</v>
      </c>
      <c r="K48" s="188">
        <f t="shared" si="10"/>
        <v>8.35</v>
      </c>
      <c r="M48" s="165"/>
    </row>
    <row r="49" spans="1:13" ht="30.75">
      <c r="A49" s="230" t="s">
        <v>349</v>
      </c>
      <c r="B49" s="237">
        <v>92873</v>
      </c>
      <c r="C49" s="191" t="s">
        <v>183</v>
      </c>
      <c r="D49" s="214" t="s">
        <v>194</v>
      </c>
      <c r="E49" s="192">
        <v>161.2</v>
      </c>
      <c r="F49" s="193">
        <f>'Memorial de cálculo'!D78</f>
        <v>0.75</v>
      </c>
      <c r="G49" s="210"/>
      <c r="H49" s="158">
        <f t="shared" si="11"/>
        <v>198.08</v>
      </c>
      <c r="I49" s="195">
        <f t="shared" si="12"/>
        <v>148.56</v>
      </c>
      <c r="J49" s="196">
        <f t="shared" si="9"/>
        <v>197.03</v>
      </c>
      <c r="K49" s="188">
        <f t="shared" si="10"/>
        <v>148.56</v>
      </c>
      <c r="M49" s="165"/>
    </row>
    <row r="50" spans="1:13" ht="30.75">
      <c r="A50" s="230" t="s">
        <v>350</v>
      </c>
      <c r="B50" s="237" t="str">
        <f>COMPOSIÇÕES!A81</f>
        <v>COMP. 012</v>
      </c>
      <c r="C50" s="191" t="str">
        <f>COMPOSIÇÕES!B82</f>
        <v>ESTACA BROCA DE CONCRETO, DIÂMETRO DE 20CM, ESCAVAÇÃO MANUAL COM TRADO CONCHA,SEM ARMAÇÃO</v>
      </c>
      <c r="D50" s="214" t="str">
        <f>COMPOSIÇÕES!C82</f>
        <v>M</v>
      </c>
      <c r="E50" s="192">
        <f>COMPOSIÇÕES!F86</f>
        <v>35.81</v>
      </c>
      <c r="F50" s="193">
        <f>'Memorial de cálculo'!D80</f>
        <v>2.8</v>
      </c>
      <c r="G50" s="210"/>
      <c r="H50" s="158">
        <f t="shared" si="11"/>
        <v>44</v>
      </c>
      <c r="I50" s="195">
        <f t="shared" si="12"/>
        <v>123.2</v>
      </c>
      <c r="J50" s="196">
        <f t="shared" si="9"/>
        <v>43.77</v>
      </c>
      <c r="K50" s="188">
        <f t="shared" si="10"/>
        <v>123.2</v>
      </c>
      <c r="M50" s="165"/>
    </row>
    <row r="51" spans="1:13" ht="15">
      <c r="A51" s="230" t="s">
        <v>351</v>
      </c>
      <c r="B51" s="237" t="str">
        <f>COMPOSIÇÕES!A22</f>
        <v>COMP. 006</v>
      </c>
      <c r="C51" s="191" t="str">
        <f>COMPOSIÇÕES!B23</f>
        <v>ARMAÇÃO UTILIZANDO AÇO CA-60 DE 5,0 MM - MONTAGEM. </v>
      </c>
      <c r="D51" s="214" t="str">
        <f>COMPOSIÇÕES!C23</f>
        <v>KG</v>
      </c>
      <c r="E51" s="192">
        <f>COMPOSIÇÕES!F29</f>
        <v>17.7</v>
      </c>
      <c r="F51" s="193">
        <f>'Memorial de cálculo'!D81</f>
        <v>4</v>
      </c>
      <c r="G51" s="210"/>
      <c r="H51" s="158">
        <f t="shared" si="11"/>
        <v>21.74</v>
      </c>
      <c r="I51" s="195">
        <f t="shared" si="12"/>
        <v>86.96</v>
      </c>
      <c r="J51" s="196">
        <f t="shared" si="9"/>
        <v>21.63</v>
      </c>
      <c r="K51" s="188">
        <f t="shared" si="10"/>
        <v>86.96</v>
      </c>
      <c r="M51" s="165"/>
    </row>
    <row r="52" spans="1:13" ht="15">
      <c r="A52" s="230" t="s">
        <v>352</v>
      </c>
      <c r="B52" s="237" t="str">
        <f>COMPOSIÇÕES!A31</f>
        <v>COMP. 007</v>
      </c>
      <c r="C52" s="191" t="str">
        <f>COMPOSIÇÕES!B32</f>
        <v>ARMAÇÃO UTILIZANDO AÇO CA-50 DE 10,0 MM - MONTAGEM. </v>
      </c>
      <c r="D52" s="214" t="str">
        <f>COMPOSIÇÕES!C32</f>
        <v>KG</v>
      </c>
      <c r="E52" s="192">
        <f>COMPOSIÇÕES!F38</f>
        <v>16.53</v>
      </c>
      <c r="F52" s="193">
        <f>'Memorial de cálculo'!D83</f>
        <v>3</v>
      </c>
      <c r="G52" s="210"/>
      <c r="H52" s="158">
        <f t="shared" si="11"/>
        <v>20.31</v>
      </c>
      <c r="I52" s="195">
        <f t="shared" si="12"/>
        <v>60.93</v>
      </c>
      <c r="J52" s="196">
        <f t="shared" si="9"/>
        <v>20.2</v>
      </c>
      <c r="K52" s="188">
        <f t="shared" si="10"/>
        <v>60.93</v>
      </c>
      <c r="M52" s="165"/>
    </row>
    <row r="53" spans="1:13" ht="15">
      <c r="A53" s="230" t="s">
        <v>353</v>
      </c>
      <c r="B53" s="237" t="str">
        <f>COMPOSIÇÕES!A40</f>
        <v>COMP. 008</v>
      </c>
      <c r="C53" s="191" t="str">
        <f>COMPOSIÇÕES!B41</f>
        <v>ARMAÇÃO UTILIZANDO AÇO CA-50 DE 6,3 MM - MONTAGEM. </v>
      </c>
      <c r="D53" s="214" t="str">
        <f>COMPOSIÇÕES!C41</f>
        <v>KG</v>
      </c>
      <c r="E53" s="192">
        <f>COMPOSIÇÕES!F47</f>
        <v>18.45</v>
      </c>
      <c r="F53" s="193">
        <f>'Memorial de cálculo'!D82</f>
        <v>8</v>
      </c>
      <c r="G53" s="210"/>
      <c r="H53" s="158">
        <f t="shared" si="11"/>
        <v>22.67</v>
      </c>
      <c r="I53" s="195">
        <f t="shared" si="12"/>
        <v>181.36</v>
      </c>
      <c r="J53" s="196" t="s">
        <v>357</v>
      </c>
      <c r="K53" s="188">
        <f t="shared" si="10"/>
        <v>181.36</v>
      </c>
      <c r="M53" s="165"/>
    </row>
    <row r="54" spans="1:13" ht="15">
      <c r="A54" s="229"/>
      <c r="B54" s="205"/>
      <c r="C54" s="220"/>
      <c r="D54" s="207"/>
      <c r="E54" s="192"/>
      <c r="F54" s="222"/>
      <c r="G54" s="210"/>
      <c r="H54" s="202" t="s">
        <v>0</v>
      </c>
      <c r="I54" s="203">
        <f>SUM(I44:I53)</f>
        <v>1338.5100000000002</v>
      </c>
      <c r="K54" s="188">
        <f>SUM(K44:K53)</f>
        <v>1338.5100000000002</v>
      </c>
      <c r="M54" s="165"/>
    </row>
    <row r="55" spans="1:13" ht="15">
      <c r="A55" s="238" t="s">
        <v>354</v>
      </c>
      <c r="B55" s="239"/>
      <c r="C55" s="240" t="s">
        <v>278</v>
      </c>
      <c r="D55" s="207"/>
      <c r="E55" s="192"/>
      <c r="F55" s="222"/>
      <c r="G55" s="210"/>
      <c r="H55" s="200"/>
      <c r="I55" s="211"/>
      <c r="M55" s="165"/>
    </row>
    <row r="56" spans="1:13" ht="46.5">
      <c r="A56" s="241" t="s">
        <v>355</v>
      </c>
      <c r="B56" s="214" t="str">
        <f>COMPOSIÇÕES!A59</f>
        <v>COMP. 010</v>
      </c>
      <c r="C56" s="236" t="str">
        <f>COMPOSIÇÕES!B60</f>
        <v>TABELA DE BASQUETE COM ESTRUTURA METÁLICA E REQUADRO EM VIDRO, CONFORME ESPECIFICAÇÕES DO PROJETO - FORNECIMENTO E INSTALAÇÃO</v>
      </c>
      <c r="D56" s="214" t="s">
        <v>297</v>
      </c>
      <c r="E56" s="158">
        <f>COMPOSIÇÕES!F66</f>
        <v>9868.609999999999</v>
      </c>
      <c r="F56" s="193">
        <f>G56</f>
        <v>1</v>
      </c>
      <c r="G56" s="194">
        <v>1</v>
      </c>
      <c r="H56" s="158">
        <f>IF(OR(E56&lt;=0)," ",TRUNC((E56*(1+$I$4)),2))</f>
        <v>12126.54</v>
      </c>
      <c r="I56" s="195">
        <f>IF(OR(E56&lt;=0)," ",TRUNC((H56*F56),2))</f>
        <v>12126.54</v>
      </c>
      <c r="J56" s="196">
        <f>TRUNC(E56*1.2223,2)</f>
        <v>12062.4</v>
      </c>
      <c r="K56" s="188">
        <f>TRUNC(H56*F56,2)</f>
        <v>12126.54</v>
      </c>
      <c r="M56" s="165"/>
    </row>
    <row r="57" spans="1:9" ht="15">
      <c r="A57" s="197"/>
      <c r="B57" s="198"/>
      <c r="C57" s="199"/>
      <c r="D57" s="198"/>
      <c r="E57" s="200"/>
      <c r="F57" s="201"/>
      <c r="G57" s="194"/>
      <c r="H57" s="202" t="s">
        <v>0</v>
      </c>
      <c r="I57" s="203">
        <f>SUM(I56:I56)</f>
        <v>12126.54</v>
      </c>
    </row>
    <row r="58" spans="1:9" ht="15.75" thickBot="1">
      <c r="A58" s="242"/>
      <c r="B58" s="243"/>
      <c r="C58" s="515" t="s">
        <v>299</v>
      </c>
      <c r="D58" s="516"/>
      <c r="E58" s="516"/>
      <c r="F58" s="516"/>
      <c r="G58" s="516"/>
      <c r="H58" s="517"/>
      <c r="I58" s="244">
        <f>I54+I57</f>
        <v>13465.050000000001</v>
      </c>
    </row>
    <row r="59" spans="1:11" s="248" customFormat="1" ht="21.75" customHeight="1" thickBot="1">
      <c r="A59" s="245"/>
      <c r="B59" s="246"/>
      <c r="C59" s="510" t="s">
        <v>301</v>
      </c>
      <c r="D59" s="510"/>
      <c r="E59" s="510"/>
      <c r="F59" s="510"/>
      <c r="G59" s="510"/>
      <c r="H59" s="510"/>
      <c r="I59" s="247">
        <f>I13+I25+I30+I37+I40+I54+I57</f>
        <v>124708.06</v>
      </c>
      <c r="K59" s="249" t="e">
        <f>#REF!+K12+K25+L30+K37+K39+K54+K56+#REF!</f>
        <v>#REF!</v>
      </c>
    </row>
    <row r="60" spans="1:11" s="254" customFormat="1" ht="21.75" customHeight="1" thickBot="1">
      <c r="A60" s="250"/>
      <c r="B60" s="251"/>
      <c r="C60" s="507" t="s">
        <v>3</v>
      </c>
      <c r="D60" s="507"/>
      <c r="E60" s="507"/>
      <c r="F60" s="507"/>
      <c r="G60" s="507"/>
      <c r="H60" s="507"/>
      <c r="I60" s="252">
        <f>I13+I25+I30+I37+I40+I54+I57</f>
        <v>124708.06</v>
      </c>
      <c r="J60" s="253" t="e">
        <f>I59+#REF!+#REF!</f>
        <v>#REF!</v>
      </c>
      <c r="K60" s="253"/>
    </row>
    <row r="61" spans="1:9" ht="15" customHeight="1" thickBot="1">
      <c r="A61" s="495" t="s">
        <v>302</v>
      </c>
      <c r="B61" s="496"/>
      <c r="C61" s="496"/>
      <c r="D61" s="496"/>
      <c r="E61" s="496"/>
      <c r="F61" s="496"/>
      <c r="G61" s="496"/>
      <c r="H61" s="496"/>
      <c r="I61" s="497"/>
    </row>
    <row r="62" spans="1:12" ht="15.75" thickBot="1">
      <c r="A62" s="498" t="s">
        <v>356</v>
      </c>
      <c r="B62" s="499"/>
      <c r="C62" s="499"/>
      <c r="D62" s="499"/>
      <c r="E62" s="499"/>
      <c r="F62" s="499"/>
      <c r="G62" s="499"/>
      <c r="H62" s="499"/>
      <c r="I62" s="500"/>
      <c r="K62" s="188" t="e">
        <f>J60-#REF!</f>
        <v>#REF!</v>
      </c>
      <c r="L62" s="187">
        <v>100</v>
      </c>
    </row>
    <row r="63" spans="5:12" ht="15">
      <c r="E63" s="258"/>
      <c r="F63" s="259"/>
      <c r="G63" s="260"/>
      <c r="H63" s="258"/>
      <c r="K63" s="188" t="e">
        <f>K62*L63/L62</f>
        <v>#REF!</v>
      </c>
      <c r="L63" s="187">
        <v>5</v>
      </c>
    </row>
    <row r="64" spans="3:8" ht="15">
      <c r="C64" s="50" t="s">
        <v>305</v>
      </c>
      <c r="E64" s="258"/>
      <c r="F64" s="259"/>
      <c r="G64" s="260"/>
      <c r="H64" s="258"/>
    </row>
    <row r="65" spans="1:11" ht="15">
      <c r="A65" s="187"/>
      <c r="B65" s="187"/>
      <c r="C65" s="51" t="s">
        <v>306</v>
      </c>
      <c r="E65" s="258"/>
      <c r="F65" s="259"/>
      <c r="G65" s="260"/>
      <c r="H65" s="258"/>
      <c r="I65" s="187"/>
      <c r="K65" s="187"/>
    </row>
    <row r="66" spans="1:11" ht="15">
      <c r="A66" s="187"/>
      <c r="B66" s="187"/>
      <c r="C66" s="51" t="s">
        <v>307</v>
      </c>
      <c r="E66" s="258"/>
      <c r="F66" s="259"/>
      <c r="G66" s="260"/>
      <c r="H66" s="258"/>
      <c r="I66" s="187"/>
      <c r="K66" s="187"/>
    </row>
  </sheetData>
  <sheetProtection/>
  <mergeCells count="15">
    <mergeCell ref="B10:I10"/>
    <mergeCell ref="C59:H59"/>
    <mergeCell ref="A7:I7"/>
    <mergeCell ref="C41:H41"/>
    <mergeCell ref="C58:H58"/>
    <mergeCell ref="A61:I61"/>
    <mergeCell ref="A62:I62"/>
    <mergeCell ref="A1:I1"/>
    <mergeCell ref="C8:I8"/>
    <mergeCell ref="B6:C6"/>
    <mergeCell ref="B5:G5"/>
    <mergeCell ref="A2:I2"/>
    <mergeCell ref="A3:I3"/>
    <mergeCell ref="B4:G4"/>
    <mergeCell ref="C60:H60"/>
  </mergeCells>
  <printOptions horizontalCentered="1"/>
  <pageMargins left="0.5905511811023623" right="0.5905511811023623" top="0.5905511811023623" bottom="0.5905511811023623" header="0.5118110236220472" footer="0.5118110236220472"/>
  <pageSetup fitToHeight="3" horizontalDpi="600" verticalDpi="600" orientation="landscape" paperSize="9" scale="80" r:id="rId2"/>
  <headerFooter alignWithMargins="0">
    <oddFooter>&amp;CPágina &amp;P de &amp;N</oddFooter>
  </headerFooter>
  <rowBreaks count="2" manualBreakCount="2">
    <brk id="25" max="8" man="1"/>
    <brk id="45" max="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="130" zoomScaleNormal="55" zoomScaleSheetLayoutView="130" zoomScalePageLayoutView="0" workbookViewId="0" topLeftCell="A4">
      <selection activeCell="A9" sqref="A9:A18"/>
    </sheetView>
  </sheetViews>
  <sheetFormatPr defaultColWidth="9.140625" defaultRowHeight="12.75"/>
  <cols>
    <col min="1" max="1" width="12.28125" style="1" customWidth="1"/>
    <col min="2" max="2" width="17.140625" style="1" hidden="1" customWidth="1"/>
    <col min="3" max="3" width="70.00390625" style="1" customWidth="1"/>
    <col min="4" max="4" width="14.421875" style="2" bestFit="1" customWidth="1"/>
    <col min="5" max="5" width="11.8515625" style="1" bestFit="1" customWidth="1"/>
    <col min="6" max="7" width="17.00390625" style="1" bestFit="1" customWidth="1"/>
    <col min="8" max="16384" width="9.140625" style="1" customWidth="1"/>
  </cols>
  <sheetData>
    <row r="1" spans="1:11" s="414" customFormat="1" ht="18">
      <c r="A1" s="525" t="s">
        <v>303</v>
      </c>
      <c r="B1" s="525"/>
      <c r="C1" s="525"/>
      <c r="D1" s="525"/>
      <c r="E1" s="525"/>
      <c r="F1" s="525"/>
      <c r="G1" s="525"/>
      <c r="H1" s="525"/>
      <c r="I1" s="525"/>
      <c r="J1" s="413"/>
      <c r="K1" s="413"/>
    </row>
    <row r="2" spans="1:11" s="416" customFormat="1" ht="15" customHeight="1">
      <c r="A2" s="526" t="s">
        <v>304</v>
      </c>
      <c r="B2" s="526"/>
      <c r="C2" s="526"/>
      <c r="D2" s="526"/>
      <c r="E2" s="526"/>
      <c r="F2" s="526"/>
      <c r="G2" s="526"/>
      <c r="H2" s="526"/>
      <c r="I2" s="526"/>
      <c r="J2" s="415"/>
      <c r="K2" s="415"/>
    </row>
    <row r="3" spans="1:13" s="5" customFormat="1" ht="15.75">
      <c r="A3" s="519"/>
      <c r="B3" s="519"/>
      <c r="C3" s="519"/>
      <c r="D3" s="519"/>
      <c r="E3" s="519"/>
      <c r="F3" s="6"/>
      <c r="G3" s="6"/>
      <c r="H3" s="6"/>
      <c r="I3" s="6"/>
      <c r="J3" s="4"/>
      <c r="K3" s="4"/>
      <c r="L3" s="4"/>
      <c r="M3" s="4"/>
    </row>
    <row r="4" spans="1:8" s="10" customFormat="1" ht="25.5">
      <c r="A4" s="15" t="str">
        <f>'[2]Planilha'!A4</f>
        <v>OBRA:</v>
      </c>
      <c r="B4" s="15"/>
      <c r="C4" s="16" t="s">
        <v>315</v>
      </c>
      <c r="D4" s="17" t="str">
        <f>'[2]Planilha'!H4</f>
        <v>BDI:</v>
      </c>
      <c r="E4" s="18">
        <f>'[2]Planilha'!I4</f>
        <v>0.22877342476291962</v>
      </c>
      <c r="F4" s="11"/>
      <c r="G4" s="11"/>
      <c r="H4" s="12"/>
    </row>
    <row r="5" spans="1:8" s="10" customFormat="1" ht="15" customHeight="1">
      <c r="A5" s="15" t="str">
        <f>'[2]Planilha'!A5</f>
        <v>ENDEREÇO:</v>
      </c>
      <c r="B5" s="15"/>
      <c r="C5" s="16" t="s">
        <v>316</v>
      </c>
      <c r="D5" s="17"/>
      <c r="E5" s="44"/>
      <c r="F5" s="12"/>
      <c r="G5" s="13"/>
      <c r="H5" s="12"/>
    </row>
    <row r="6" spans="1:8" s="10" customFormat="1" ht="14.25" customHeight="1" thickBot="1">
      <c r="A6" s="15" t="str">
        <f>'[2]Planilha'!A6</f>
        <v>ASSUNTO:</v>
      </c>
      <c r="B6" s="15"/>
      <c r="C6" s="16" t="s">
        <v>33</v>
      </c>
      <c r="D6" s="17" t="s">
        <v>34</v>
      </c>
      <c r="E6" s="19">
        <v>44488</v>
      </c>
      <c r="F6" s="12"/>
      <c r="G6" s="13"/>
      <c r="H6" s="12"/>
    </row>
    <row r="7" spans="1:5" s="8" customFormat="1" ht="16.5" customHeight="1" thickBot="1">
      <c r="A7" s="522" t="s">
        <v>7</v>
      </c>
      <c r="B7" s="523"/>
      <c r="C7" s="523"/>
      <c r="D7" s="523"/>
      <c r="E7" s="524"/>
    </row>
    <row r="8" spans="1:5" s="8" customFormat="1" ht="15" thickBot="1">
      <c r="A8" s="39" t="s">
        <v>56</v>
      </c>
      <c r="B8" s="40"/>
      <c r="C8" s="39" t="s">
        <v>4</v>
      </c>
      <c r="D8" s="41" t="s">
        <v>5</v>
      </c>
      <c r="E8" s="42" t="s">
        <v>6</v>
      </c>
    </row>
    <row r="9" spans="1:5" s="3" customFormat="1" ht="15">
      <c r="A9" s="30" t="str">
        <f>Planilha!A10</f>
        <v>0001</v>
      </c>
      <c r="B9" s="27"/>
      <c r="C9" s="26" t="str">
        <f>Planilha!B10</f>
        <v>CONSTRUÇÃO DE QUADRA DE BASQUETE</v>
      </c>
      <c r="D9" s="28">
        <f>Planilha!I59</f>
        <v>124708.06</v>
      </c>
      <c r="E9" s="29">
        <f aca="true" t="shared" si="0" ref="E9:E18">(D9/$D$19)*100</f>
        <v>100</v>
      </c>
    </row>
    <row r="10" spans="1:5" s="3" customFormat="1" ht="15">
      <c r="A10" s="31" t="str">
        <f>Planilha!A11</f>
        <v>0001.1</v>
      </c>
      <c r="B10" s="22"/>
      <c r="C10" s="21" t="str">
        <f>Planilha!C11</f>
        <v>SERVIÇOS PRELIMINARES</v>
      </c>
      <c r="D10" s="23">
        <f>Planilha!I13</f>
        <v>3326.87</v>
      </c>
      <c r="E10" s="32">
        <f t="shared" si="0"/>
        <v>2.667726528662221</v>
      </c>
    </row>
    <row r="11" spans="1:5" s="3" customFormat="1" ht="15">
      <c r="A11" s="31" t="str">
        <f>Planilha!A14</f>
        <v>0001.2</v>
      </c>
      <c r="B11" s="22"/>
      <c r="C11" s="21" t="str">
        <f>Planilha!C14</f>
        <v>PISO DA QUADRA</v>
      </c>
      <c r="D11" s="23">
        <f>Planilha!I25</f>
        <v>74138.16</v>
      </c>
      <c r="E11" s="32">
        <f t="shared" si="0"/>
        <v>59.44937320009629</v>
      </c>
    </row>
    <row r="12" spans="1:5" s="3" customFormat="1" ht="15">
      <c r="A12" s="31" t="str">
        <f>Planilha!A26</f>
        <v>0003.3</v>
      </c>
      <c r="B12" s="22"/>
      <c r="C12" s="21" t="str">
        <f>Planilha!C26</f>
        <v>FECHAMENTO</v>
      </c>
      <c r="D12" s="23">
        <f>Planilha!I41</f>
        <v>33777.979999999996</v>
      </c>
      <c r="E12" s="32">
        <f t="shared" si="0"/>
        <v>27.085643061082017</v>
      </c>
    </row>
    <row r="13" spans="1:5" s="3" customFormat="1" ht="15">
      <c r="A13" s="33" t="str">
        <f>Planilha!A27</f>
        <v>0001.3.1</v>
      </c>
      <c r="B13" s="24"/>
      <c r="C13" s="20" t="str">
        <f>Planilha!C27</f>
        <v>MOVIMENTO DE TERRA</v>
      </c>
      <c r="D13" s="25">
        <f>Planilha!I30</f>
        <v>32.71</v>
      </c>
      <c r="E13" s="32">
        <f t="shared" si="0"/>
        <v>0.026229258958883655</v>
      </c>
    </row>
    <row r="14" spans="1:5" s="3" customFormat="1" ht="15">
      <c r="A14" s="33" t="str">
        <f>Planilha!A31</f>
        <v>0001.3.2</v>
      </c>
      <c r="B14" s="24"/>
      <c r="C14" s="20" t="str">
        <f>Planilha!C31</f>
        <v>FUNDAÇÃO</v>
      </c>
      <c r="D14" s="25">
        <f>Planilha!I37</f>
        <v>2740.5600000000004</v>
      </c>
      <c r="E14" s="32">
        <f t="shared" si="0"/>
        <v>2.1975804931934637</v>
      </c>
    </row>
    <row r="15" spans="1:5" s="3" customFormat="1" ht="15">
      <c r="A15" s="33" t="str">
        <f>Planilha!A38</f>
        <v>0001.3.3</v>
      </c>
      <c r="B15" s="24"/>
      <c r="C15" s="20" t="str">
        <f>Planilha!C38</f>
        <v>ALAMBRADO</v>
      </c>
      <c r="D15" s="25">
        <f>Planilha!I40</f>
        <v>31004.71</v>
      </c>
      <c r="E15" s="32">
        <f t="shared" si="0"/>
        <v>24.861833308929672</v>
      </c>
    </row>
    <row r="16" spans="1:5" s="3" customFormat="1" ht="15">
      <c r="A16" s="31" t="str">
        <f>Planilha!A42</f>
        <v>0001.4</v>
      </c>
      <c r="B16" s="22"/>
      <c r="C16" s="21" t="str">
        <f>Planilha!C42</f>
        <v>EQUIPAMENTOS ESPORTIVOS</v>
      </c>
      <c r="D16" s="23">
        <f>Planilha!I58</f>
        <v>13465.050000000001</v>
      </c>
      <c r="E16" s="32">
        <f t="shared" si="0"/>
        <v>10.797257210159472</v>
      </c>
    </row>
    <row r="17" spans="1:5" s="3" customFormat="1" ht="15">
      <c r="A17" s="33" t="str">
        <f>Planilha!A43</f>
        <v>0001.4.1</v>
      </c>
      <c r="B17" s="24"/>
      <c r="C17" s="20" t="str">
        <f>Planilha!C43</f>
        <v>FUNDAÇÃO</v>
      </c>
      <c r="D17" s="25">
        <f>Planilha!I54</f>
        <v>1338.5100000000002</v>
      </c>
      <c r="E17" s="32">
        <f t="shared" si="0"/>
        <v>1.0733147480603902</v>
      </c>
    </row>
    <row r="18" spans="1:5" s="3" customFormat="1" ht="15.75" thickBot="1">
      <c r="A18" s="34" t="str">
        <f>Planilha!A55</f>
        <v>0001.4.2</v>
      </c>
      <c r="B18" s="35"/>
      <c r="C18" s="36" t="str">
        <f>Planilha!C55</f>
        <v>EQUIPAMENTO</v>
      </c>
      <c r="D18" s="37">
        <f>Planilha!I57</f>
        <v>12126.54</v>
      </c>
      <c r="E18" s="38">
        <f t="shared" si="0"/>
        <v>9.723942462099082</v>
      </c>
    </row>
    <row r="19" spans="1:7" s="8" customFormat="1" ht="16.5" customHeight="1" thickBot="1">
      <c r="A19" s="520" t="s">
        <v>3</v>
      </c>
      <c r="B19" s="521"/>
      <c r="C19" s="521"/>
      <c r="D19" s="48">
        <f>D10+D11+D13+D14+D15+D17+D18</f>
        <v>124708.06</v>
      </c>
      <c r="E19" s="49">
        <f>E10+E11+E13+E14+E15+E17+E18</f>
        <v>100</v>
      </c>
      <c r="F19" s="43" t="e">
        <f>#REF!+#REF!+D9+D10+D11+D12+D13+D14+D15+D16+D17+D18</f>
        <v>#REF!</v>
      </c>
      <c r="G19" s="43" t="e">
        <f>F19/2</f>
        <v>#REF!</v>
      </c>
    </row>
    <row r="20" spans="1:5" ht="12.75">
      <c r="A20" s="7"/>
      <c r="B20" s="7"/>
      <c r="C20" s="518" t="str">
        <f>Planilha!C8</f>
        <v>Preços Base Boletim Sinapi Agosto/2021 não desonerado</v>
      </c>
      <c r="D20" s="518"/>
      <c r="E20" s="518"/>
    </row>
    <row r="21" ht="51.75" customHeight="1"/>
    <row r="22" ht="12.75">
      <c r="C22" s="14" t="str">
        <f>Planilha!C64</f>
        <v>ROGÉRIO NOGUEIRA DIAS</v>
      </c>
    </row>
    <row r="23" ht="12.75">
      <c r="C23" s="9" t="str">
        <f>Planilha!C65</f>
        <v>ARQUITETO E URBANISTA</v>
      </c>
    </row>
    <row r="24" ht="12.75">
      <c r="C24" s="9" t="str">
        <f>Planilha!C66</f>
        <v>CAU A76801-4</v>
      </c>
    </row>
  </sheetData>
  <sheetProtection/>
  <mergeCells count="6">
    <mergeCell ref="C20:E20"/>
    <mergeCell ref="A3:E3"/>
    <mergeCell ref="A19:C19"/>
    <mergeCell ref="A7:E7"/>
    <mergeCell ref="A1:I1"/>
    <mergeCell ref="A2:I2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20" r:id="rId2"/>
  <colBreaks count="1" manualBreakCount="1">
    <brk id="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115" zoomScaleNormal="40" zoomScaleSheetLayoutView="115" zoomScalePageLayoutView="0" workbookViewId="0" topLeftCell="A1">
      <selection activeCell="D22" sqref="D22"/>
    </sheetView>
  </sheetViews>
  <sheetFormatPr defaultColWidth="9.140625" defaultRowHeight="12.75"/>
  <cols>
    <col min="1" max="1" width="11.57421875" style="79" bestFit="1" customWidth="1"/>
    <col min="2" max="2" width="40.8515625" style="79" customWidth="1"/>
    <col min="3" max="3" width="11.57421875" style="79" bestFit="1" customWidth="1"/>
    <col min="4" max="4" width="7.8515625" style="79" bestFit="1" customWidth="1"/>
    <col min="5" max="5" width="10.421875" style="79" bestFit="1" customWidth="1"/>
    <col min="6" max="6" width="8.421875" style="146" bestFit="1" customWidth="1"/>
    <col min="7" max="7" width="10.421875" style="146" bestFit="1" customWidth="1"/>
    <col min="8" max="8" width="8.421875" style="146" bestFit="1" customWidth="1"/>
    <col min="9" max="9" width="10.421875" style="146" bestFit="1" customWidth="1"/>
    <col min="10" max="10" width="8.421875" style="146" bestFit="1" customWidth="1"/>
    <col min="11" max="11" width="8.421875" style="79" bestFit="1" customWidth="1"/>
    <col min="12" max="16384" width="9.140625" style="79" customWidth="1"/>
  </cols>
  <sheetData>
    <row r="1" spans="1:11" s="264" customFormat="1" ht="19.5">
      <c r="A1" s="528" t="str">
        <f>Resumo!$A$1</f>
        <v>R. N. DIAS CONSULTORIA E PROJETOS – ME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</row>
    <row r="2" spans="1:11" s="265" customFormat="1" ht="15.75">
      <c r="A2" s="529" t="str">
        <f>Resumo!$A$2</f>
        <v>CNPJ 40.600.695/0001-67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</row>
    <row r="3" spans="1:13" s="168" customFormat="1" ht="15.75">
      <c r="A3" s="530"/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266"/>
      <c r="M3" s="266"/>
    </row>
    <row r="4" spans="1:11" s="268" customFormat="1" ht="13.5">
      <c r="A4" s="267" t="str">
        <f>Planilha!A4</f>
        <v>OBRA:</v>
      </c>
      <c r="B4" s="527" t="str">
        <f>Resumo!C4</f>
        <v>CONSTRUÇÃO DE QUADRA DE BASQUETE STREETBALL, NO MUNICÍPIO DE JACIARA - MT</v>
      </c>
      <c r="C4" s="527"/>
      <c r="D4" s="527"/>
      <c r="E4" s="527"/>
      <c r="F4" s="527"/>
      <c r="G4" s="527"/>
      <c r="H4" s="527"/>
      <c r="I4" s="527"/>
      <c r="J4" s="527"/>
      <c r="K4" s="527"/>
    </row>
    <row r="5" spans="1:11" ht="12.75" customHeight="1">
      <c r="A5" s="267" t="str">
        <f>Planilha!A5</f>
        <v>ENDEREÇO:</v>
      </c>
      <c r="B5" s="535" t="str">
        <f>Resumo!C5</f>
        <v>ENTRE AS RUAS 08 E 09, BAIRRO ZÉ ARAÇA, JACIARA - MT  </v>
      </c>
      <c r="C5" s="535"/>
      <c r="D5" s="535"/>
      <c r="E5" s="535"/>
      <c r="F5" s="535"/>
      <c r="G5" s="535"/>
      <c r="H5" s="535"/>
      <c r="I5" s="535"/>
      <c r="J5" s="535"/>
      <c r="K5" s="535"/>
    </row>
    <row r="6" spans="1:11" ht="13.5">
      <c r="A6" s="267" t="str">
        <f>Planilha!A6</f>
        <v>ASSUNTO:</v>
      </c>
      <c r="B6" s="535" t="str">
        <f>Resumo!C6</f>
        <v>CONSTRUÇÃO</v>
      </c>
      <c r="C6" s="450"/>
      <c r="D6" s="450"/>
      <c r="K6" s="269"/>
    </row>
    <row r="7" spans="1:11" ht="14.25" thickBot="1">
      <c r="A7" s="536" t="s">
        <v>9</v>
      </c>
      <c r="B7" s="536"/>
      <c r="C7" s="536"/>
      <c r="D7" s="536"/>
      <c r="E7" s="536"/>
      <c r="F7" s="536"/>
      <c r="G7" s="536"/>
      <c r="H7" s="536"/>
      <c r="I7" s="536"/>
      <c r="J7" s="536"/>
      <c r="K7" s="537"/>
    </row>
    <row r="8" spans="1:11" ht="13.5">
      <c r="A8" s="538" t="s">
        <v>26</v>
      </c>
      <c r="B8" s="541" t="s">
        <v>10</v>
      </c>
      <c r="C8" s="541" t="s">
        <v>11</v>
      </c>
      <c r="D8" s="541"/>
      <c r="E8" s="531" t="s">
        <v>12</v>
      </c>
      <c r="F8" s="532"/>
      <c r="G8" s="532"/>
      <c r="H8" s="532"/>
      <c r="I8" s="532"/>
      <c r="J8" s="532"/>
      <c r="K8" s="533"/>
    </row>
    <row r="9" spans="1:11" ht="13.5">
      <c r="A9" s="539"/>
      <c r="B9" s="542"/>
      <c r="C9" s="542"/>
      <c r="D9" s="542"/>
      <c r="E9" s="534" t="s">
        <v>24</v>
      </c>
      <c r="F9" s="534"/>
      <c r="G9" s="534" t="s">
        <v>25</v>
      </c>
      <c r="H9" s="534"/>
      <c r="I9" s="534" t="s">
        <v>46</v>
      </c>
      <c r="J9" s="534"/>
      <c r="K9" s="271" t="s">
        <v>13</v>
      </c>
    </row>
    <row r="10" spans="1:11" ht="14.25" thickBot="1">
      <c r="A10" s="540"/>
      <c r="B10" s="543"/>
      <c r="C10" s="272" t="s">
        <v>14</v>
      </c>
      <c r="D10" s="412" t="s">
        <v>6</v>
      </c>
      <c r="E10" s="273" t="s">
        <v>14</v>
      </c>
      <c r="F10" s="274" t="s">
        <v>6</v>
      </c>
      <c r="G10" s="273" t="s">
        <v>14</v>
      </c>
      <c r="H10" s="274" t="s">
        <v>6</v>
      </c>
      <c r="I10" s="273" t="s">
        <v>14</v>
      </c>
      <c r="J10" s="274" t="s">
        <v>6</v>
      </c>
      <c r="K10" s="275" t="s">
        <v>6</v>
      </c>
    </row>
    <row r="11" spans="1:11" ht="13.5">
      <c r="A11" s="276" t="str">
        <f>Resumo!A9</f>
        <v>0001</v>
      </c>
      <c r="B11" s="418" t="str">
        <f>Resumo!C9</f>
        <v>CONSTRUÇÃO DE QUADRA DE BASQUETE</v>
      </c>
      <c r="C11" s="419">
        <f>Resumo!D9</f>
        <v>124708.06</v>
      </c>
      <c r="D11" s="277">
        <f aca="true" t="shared" si="0" ref="D11:D20">100*C11/C$21</f>
        <v>100</v>
      </c>
      <c r="E11" s="280"/>
      <c r="F11" s="279"/>
      <c r="G11" s="280"/>
      <c r="H11" s="279"/>
      <c r="I11" s="280"/>
      <c r="J11" s="279"/>
      <c r="K11" s="278"/>
    </row>
    <row r="12" spans="1:11" ht="13.5">
      <c r="A12" s="281" t="str">
        <f>Resumo!A10</f>
        <v>0001.1</v>
      </c>
      <c r="B12" s="282" t="str">
        <f>Resumo!C10</f>
        <v>SERVIÇOS PRELIMINARES</v>
      </c>
      <c r="C12" s="283">
        <f>Resumo!D10</f>
        <v>3326.87</v>
      </c>
      <c r="D12" s="284">
        <f t="shared" si="0"/>
        <v>2.667726528662221</v>
      </c>
      <c r="E12" s="285">
        <f>F12*C12</f>
        <v>3326.87</v>
      </c>
      <c r="F12" s="286">
        <v>1</v>
      </c>
      <c r="G12" s="285">
        <f>H12*C12</f>
        <v>0</v>
      </c>
      <c r="H12" s="286"/>
      <c r="I12" s="285">
        <f>J12*C12</f>
        <v>0</v>
      </c>
      <c r="J12" s="286"/>
      <c r="K12" s="287">
        <f>F12+H12+J12</f>
        <v>1</v>
      </c>
    </row>
    <row r="13" spans="1:11" ht="13.5">
      <c r="A13" s="281" t="str">
        <f>Resumo!A11</f>
        <v>0001.2</v>
      </c>
      <c r="B13" s="282" t="str">
        <f>Resumo!C11</f>
        <v>PISO DA QUADRA</v>
      </c>
      <c r="C13" s="283">
        <f>Resumo!D11</f>
        <v>74138.16</v>
      </c>
      <c r="D13" s="284">
        <f t="shared" si="0"/>
        <v>59.44937320009629</v>
      </c>
      <c r="E13" s="285">
        <f aca="true" t="shared" si="1" ref="E13:E20">F13*C13</f>
        <v>29655.264000000003</v>
      </c>
      <c r="F13" s="288">
        <v>0.4</v>
      </c>
      <c r="G13" s="285">
        <f>H13*C13</f>
        <v>29655.264000000003</v>
      </c>
      <c r="H13" s="288">
        <v>0.4</v>
      </c>
      <c r="I13" s="285">
        <f aca="true" t="shared" si="2" ref="I13:I20">J13*C13</f>
        <v>14827.632000000001</v>
      </c>
      <c r="J13" s="288">
        <v>0.2</v>
      </c>
      <c r="K13" s="287">
        <f aca="true" t="shared" si="3" ref="K13:K20">F13+H13+J13</f>
        <v>1</v>
      </c>
    </row>
    <row r="14" spans="1:11" ht="13.5">
      <c r="A14" s="281" t="str">
        <f>Resumo!A12</f>
        <v>0003.3</v>
      </c>
      <c r="B14" s="282" t="str">
        <f>Resumo!C12</f>
        <v>FECHAMENTO</v>
      </c>
      <c r="C14" s="283">
        <f>Resumo!D12</f>
        <v>33777.979999999996</v>
      </c>
      <c r="D14" s="284">
        <f t="shared" si="0"/>
        <v>27.085643061082013</v>
      </c>
      <c r="E14" s="289"/>
      <c r="F14" s="290"/>
      <c r="G14" s="289"/>
      <c r="H14" s="290"/>
      <c r="I14" s="289"/>
      <c r="J14" s="290"/>
      <c r="K14" s="291"/>
    </row>
    <row r="15" spans="1:11" ht="13.5">
      <c r="A15" s="292" t="str">
        <f>Resumo!A13</f>
        <v>0001.3.1</v>
      </c>
      <c r="B15" s="293" t="str">
        <f>Resumo!C13</f>
        <v>MOVIMENTO DE TERRA</v>
      </c>
      <c r="C15" s="294">
        <f>Resumo!D13</f>
        <v>32.71</v>
      </c>
      <c r="D15" s="295">
        <f t="shared" si="0"/>
        <v>0.02622925895888365</v>
      </c>
      <c r="E15" s="296">
        <f t="shared" si="1"/>
        <v>32.71</v>
      </c>
      <c r="F15" s="297">
        <v>1</v>
      </c>
      <c r="G15" s="296">
        <f>H15*C15</f>
        <v>0</v>
      </c>
      <c r="H15" s="297"/>
      <c r="I15" s="296">
        <f t="shared" si="2"/>
        <v>0</v>
      </c>
      <c r="J15" s="297"/>
      <c r="K15" s="298">
        <f t="shared" si="3"/>
        <v>1</v>
      </c>
    </row>
    <row r="16" spans="1:11" ht="13.5">
      <c r="A16" s="292" t="str">
        <f>Resumo!A14</f>
        <v>0001.3.2</v>
      </c>
      <c r="B16" s="293" t="str">
        <f>Resumo!C14</f>
        <v>FUNDAÇÃO</v>
      </c>
      <c r="C16" s="294">
        <f>Resumo!D14</f>
        <v>2740.5600000000004</v>
      </c>
      <c r="D16" s="295">
        <f t="shared" si="0"/>
        <v>2.1975804931934637</v>
      </c>
      <c r="E16" s="296">
        <f t="shared" si="1"/>
        <v>2740.5600000000004</v>
      </c>
      <c r="F16" s="297">
        <v>1</v>
      </c>
      <c r="G16" s="296">
        <f>H16*C16</f>
        <v>0</v>
      </c>
      <c r="H16" s="297"/>
      <c r="I16" s="296">
        <f t="shared" si="2"/>
        <v>0</v>
      </c>
      <c r="J16" s="297"/>
      <c r="K16" s="298">
        <f t="shared" si="3"/>
        <v>1</v>
      </c>
    </row>
    <row r="17" spans="1:11" ht="13.5">
      <c r="A17" s="292" t="str">
        <f>Resumo!A15</f>
        <v>0001.3.3</v>
      </c>
      <c r="B17" s="293" t="str">
        <f>Resumo!C15</f>
        <v>ALAMBRADO</v>
      </c>
      <c r="C17" s="294">
        <f>Resumo!D15</f>
        <v>31004.71</v>
      </c>
      <c r="D17" s="295">
        <f t="shared" si="0"/>
        <v>24.861833308929672</v>
      </c>
      <c r="E17" s="296">
        <f t="shared" si="1"/>
        <v>0</v>
      </c>
      <c r="F17" s="297"/>
      <c r="G17" s="296">
        <f>H17*C17</f>
        <v>15502.355</v>
      </c>
      <c r="H17" s="297">
        <v>0.5</v>
      </c>
      <c r="I17" s="296">
        <f t="shared" si="2"/>
        <v>15502.355</v>
      </c>
      <c r="J17" s="297">
        <v>0.5</v>
      </c>
      <c r="K17" s="298">
        <f t="shared" si="3"/>
        <v>1</v>
      </c>
    </row>
    <row r="18" spans="1:11" ht="13.5">
      <c r="A18" s="281" t="str">
        <f>Resumo!A16</f>
        <v>0001.4</v>
      </c>
      <c r="B18" s="282" t="str">
        <f>Resumo!C16</f>
        <v>EQUIPAMENTOS ESPORTIVOS</v>
      </c>
      <c r="C18" s="283">
        <f>Resumo!D16</f>
        <v>13465.050000000001</v>
      </c>
      <c r="D18" s="284">
        <f t="shared" si="0"/>
        <v>10.797257210159472</v>
      </c>
      <c r="E18" s="289"/>
      <c r="F18" s="290"/>
      <c r="G18" s="289"/>
      <c r="H18" s="290"/>
      <c r="I18" s="289"/>
      <c r="J18" s="290"/>
      <c r="K18" s="291"/>
    </row>
    <row r="19" spans="1:11" ht="13.5">
      <c r="A19" s="292" t="str">
        <f>Resumo!A17</f>
        <v>0001.4.1</v>
      </c>
      <c r="B19" s="293" t="str">
        <f>Resumo!C17</f>
        <v>FUNDAÇÃO</v>
      </c>
      <c r="C19" s="294">
        <f>Resumo!D17</f>
        <v>1338.5100000000002</v>
      </c>
      <c r="D19" s="295">
        <f t="shared" si="0"/>
        <v>1.0733147480603902</v>
      </c>
      <c r="E19" s="296">
        <f t="shared" si="1"/>
        <v>1338.5100000000002</v>
      </c>
      <c r="F19" s="297">
        <v>1</v>
      </c>
      <c r="G19" s="296">
        <f>H19*C19</f>
        <v>0</v>
      </c>
      <c r="H19" s="297"/>
      <c r="I19" s="296">
        <f t="shared" si="2"/>
        <v>0</v>
      </c>
      <c r="J19" s="297"/>
      <c r="K19" s="298">
        <f t="shared" si="3"/>
        <v>1</v>
      </c>
    </row>
    <row r="20" spans="1:11" ht="14.25" thickBot="1">
      <c r="A20" s="420" t="str">
        <f>Resumo!A18</f>
        <v>0001.4.2</v>
      </c>
      <c r="B20" s="421" t="str">
        <f>Resumo!C18</f>
        <v>EQUIPAMENTO</v>
      </c>
      <c r="C20" s="422">
        <f>Resumo!D18</f>
        <v>12126.54</v>
      </c>
      <c r="D20" s="423">
        <f t="shared" si="0"/>
        <v>9.723942462099082</v>
      </c>
      <c r="E20" s="424">
        <f t="shared" si="1"/>
        <v>0</v>
      </c>
      <c r="F20" s="425"/>
      <c r="G20" s="424">
        <f>H20*C20</f>
        <v>0</v>
      </c>
      <c r="H20" s="425"/>
      <c r="I20" s="424">
        <f t="shared" si="2"/>
        <v>12126.54</v>
      </c>
      <c r="J20" s="425">
        <v>1</v>
      </c>
      <c r="K20" s="426">
        <f t="shared" si="3"/>
        <v>1</v>
      </c>
    </row>
    <row r="21" spans="1:12" ht="13.5">
      <c r="A21" s="299"/>
      <c r="B21" s="300" t="s">
        <v>15</v>
      </c>
      <c r="C21" s="301">
        <f>C12+C13+C15+C16+C17+C19+C20</f>
        <v>124708.06</v>
      </c>
      <c r="D21" s="301">
        <f>D12+D13+D15+D16+D17+D19+D20</f>
        <v>100</v>
      </c>
      <c r="E21" s="302">
        <f>SUM(E11:E20)</f>
        <v>37093.914000000004</v>
      </c>
      <c r="F21" s="303">
        <f>+E21/C21</f>
        <v>0.29744600308913477</v>
      </c>
      <c r="G21" s="302">
        <f>SUM(G11:G20)</f>
        <v>45157.619000000006</v>
      </c>
      <c r="H21" s="303">
        <f>+G21/C21</f>
        <v>0.36210665934503355</v>
      </c>
      <c r="I21" s="302">
        <f>SUM(I11:I20)</f>
        <v>42456.527</v>
      </c>
      <c r="J21" s="303">
        <f>+I21/C21</f>
        <v>0.3404473375658318</v>
      </c>
      <c r="K21" s="304">
        <f>F21+H21+J21</f>
        <v>1</v>
      </c>
      <c r="L21" s="146"/>
    </row>
    <row r="22" spans="1:11" ht="14.25" thickBot="1">
      <c r="A22" s="305"/>
      <c r="B22" s="306" t="s">
        <v>16</v>
      </c>
      <c r="C22" s="307"/>
      <c r="D22" s="308"/>
      <c r="E22" s="309">
        <f>E21</f>
        <v>37093.914000000004</v>
      </c>
      <c r="F22" s="310">
        <f>+E22/C21</f>
        <v>0.29744600308913477</v>
      </c>
      <c r="G22" s="309">
        <f>E22+G21</f>
        <v>82251.53300000001</v>
      </c>
      <c r="H22" s="310">
        <f>F22+H21</f>
        <v>0.6595526624341683</v>
      </c>
      <c r="I22" s="309">
        <f>G22+I21</f>
        <v>124708.06000000001</v>
      </c>
      <c r="J22" s="310">
        <f>H22+J21</f>
        <v>1</v>
      </c>
      <c r="K22" s="311"/>
    </row>
    <row r="24" ht="66" customHeight="1" thickBot="1">
      <c r="B24" s="270"/>
    </row>
    <row r="25" spans="2:10" s="312" customFormat="1" ht="12.75">
      <c r="B25" s="153" t="str">
        <f>Resumo!C22</f>
        <v>ROGÉRIO NOGUEIRA DIAS</v>
      </c>
      <c r="F25" s="313"/>
      <c r="G25" s="313"/>
      <c r="H25" s="313"/>
      <c r="I25" s="313"/>
      <c r="J25" s="313"/>
    </row>
    <row r="26" spans="2:10" s="312" customFormat="1" ht="12.75">
      <c r="B26" s="51" t="str">
        <f>Resumo!C23</f>
        <v>ARQUITETO E URBANISTA</v>
      </c>
      <c r="F26" s="313"/>
      <c r="G26" s="313"/>
      <c r="H26" s="313"/>
      <c r="I26" s="313"/>
      <c r="J26" s="313"/>
    </row>
    <row r="27" spans="2:10" s="312" customFormat="1" ht="12.75">
      <c r="B27" s="51" t="str">
        <f>Resumo!C24</f>
        <v>CAU A76801-4</v>
      </c>
      <c r="F27" s="313"/>
      <c r="G27" s="313"/>
      <c r="H27" s="313"/>
      <c r="I27" s="313"/>
      <c r="J27" s="313"/>
    </row>
    <row r="30" ht="13.5">
      <c r="C30" s="314">
        <f>210000/3</f>
        <v>70000</v>
      </c>
    </row>
  </sheetData>
  <sheetProtection/>
  <mergeCells count="14">
    <mergeCell ref="A8:A10"/>
    <mergeCell ref="B8:B10"/>
    <mergeCell ref="C8:D9"/>
    <mergeCell ref="G9:H9"/>
    <mergeCell ref="B4:K4"/>
    <mergeCell ref="A1:K1"/>
    <mergeCell ref="A2:K2"/>
    <mergeCell ref="A3:K3"/>
    <mergeCell ref="E8:K8"/>
    <mergeCell ref="E9:F9"/>
    <mergeCell ref="I9:J9"/>
    <mergeCell ref="B6:D6"/>
    <mergeCell ref="A7:K7"/>
    <mergeCell ref="B5:K5"/>
  </mergeCells>
  <printOptions horizontalCentered="1"/>
  <pageMargins left="0.5905511811023623" right="0.5905511811023623" top="1.7716535433070868" bottom="0.5905511811023623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d60437</dc:creator>
  <cp:keywords/>
  <dc:description/>
  <cp:lastModifiedBy>55659</cp:lastModifiedBy>
  <cp:lastPrinted>2021-11-06T01:12:12Z</cp:lastPrinted>
  <dcterms:created xsi:type="dcterms:W3CDTF">2005-05-30T13:40:50Z</dcterms:created>
  <dcterms:modified xsi:type="dcterms:W3CDTF">2021-11-06T01:12:52Z</dcterms:modified>
  <cp:category/>
  <cp:version/>
  <cp:contentType/>
  <cp:contentStatus/>
</cp:coreProperties>
</file>