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xWindow="-120" yWindow="-120" windowWidth="20730" windowHeight="11160" tabRatio="938" firstSheet="5" activeTab="14"/>
  </bookViews>
  <sheets>
    <sheet name="Ruas Ben" sheetId="12" state="hidden" r:id="rId1"/>
    <sheet name="M. Calc Dre" sheetId="11" state="hidden" r:id="rId2"/>
    <sheet name="Terrap." sheetId="7" r:id="rId3"/>
    <sheet name="Cub" sheetId="32" r:id="rId4"/>
    <sheet name="BASE E SUB" sheetId="33" r:id="rId5"/>
    <sheet name="Pavim." sheetId="8" r:id="rId6"/>
    <sheet name="MAT. PETREO" sheetId="30" r:id="rId7"/>
    <sheet name="MAT BETUMINOSO" sheetId="31" r:id="rId8"/>
    <sheet name="MF e Sarj." sheetId="10" r:id="rId9"/>
    <sheet name="CALÇADA" sheetId="35" r:id="rId10"/>
    <sheet name="PISO TATIL" sheetId="37" r:id="rId11"/>
    <sheet name="Sinal." sheetId="14" r:id="rId12"/>
    <sheet name="Comp. TSD E CAPA" sheetId="20" state="hidden" r:id="rId13"/>
    <sheet name="Mem. Calc." sheetId="15" r:id="rId14"/>
    <sheet name="Orçam." sheetId="1" r:id="rId15"/>
    <sheet name="Resumo" sheetId="4" r:id="rId16"/>
    <sheet name="Crono Basico" sheetId="39" r:id="rId17"/>
    <sheet name="Crono Comp." sheetId="2" state="hidden" r:id="rId18"/>
    <sheet name="BDI" sheetId="19" r:id="rId19"/>
    <sheet name="QCI" sheetId="16" state="hidden" r:id="rId20"/>
    <sheet name="ADM LOCAL" sheetId="24" r:id="rId21"/>
    <sheet name="Compo. Capa" sheetId="34" r:id="rId22"/>
    <sheet name="COMP PV" sheetId="36" state="hidden" r:id="rId23"/>
    <sheet name="COMP PISO TATIL" sheetId="38" state="hidden" r:id="rId24"/>
    <sheet name="Unit Betum" sheetId="29" state="hidden" r:id="rId25"/>
    <sheet name="CRON 2" sheetId="28" state="hidden" r:id="rId26"/>
  </sheets>
  <definedNames>
    <definedName name="_xlnm.Print_Area" localSheetId="20">'ADM LOCAL'!$A$1:$J$20</definedName>
    <definedName name="_xlnm.Print_Area" localSheetId="18">BDI!$A$1:$G$38</definedName>
    <definedName name="_xlnm.Print_Area" localSheetId="23">'COMP PISO TATIL'!$A$1:$H$37</definedName>
    <definedName name="_xlnm.Print_Area" localSheetId="22">'COMP PV'!$A$1:$G$31</definedName>
    <definedName name="_xlnm.Print_Area" localSheetId="21">'Compo. Capa'!$A$1:$F$121</definedName>
    <definedName name="_xlnm.Print_Area" localSheetId="25">'CRON 2'!$A$1:$P$50</definedName>
    <definedName name="_xlnm.Print_Area" localSheetId="16">'Crono Basico'!$A$1:$R$24</definedName>
    <definedName name="_xlnm.Print_Area" localSheetId="17">'Crono Comp.'!$A$1:$R$90</definedName>
    <definedName name="_xlnm.Print_Area" localSheetId="3">Cub!$A$1:$I$34</definedName>
    <definedName name="_xlnm.Print_Area" localSheetId="1">'M. Calc Dre'!$A$1:$L$56</definedName>
    <definedName name="_xlnm.Print_Area" localSheetId="6">'MAT. PETREO'!$A$1:$L$17</definedName>
    <definedName name="_xlnm.Print_Area" localSheetId="13">'Mem. Calc.'!$A$1:$E$85</definedName>
    <definedName name="_xlnm.Print_Area" localSheetId="14">Orçam.!$A$1:$K$50</definedName>
    <definedName name="_xlnm.Print_Area" localSheetId="10">'PISO TATIL'!$A$1:$M$20</definedName>
    <definedName name="_xlnm.Print_Area" localSheetId="19">QCI!$A$1:$G$37</definedName>
    <definedName name="_xlnm.Print_Area" localSheetId="15">Resumo!$A$1:$F$27</definedName>
    <definedName name="_xlnm.Print_Area" localSheetId="0">'Ruas Ben'!$A$1:$Q$24</definedName>
    <definedName name="_xlnm.Print_Area" localSheetId="11">Sinal.!$A$1:$J$47</definedName>
    <definedName name="_xlnm.Print_Area" localSheetId="2">Terrap.!$A$1:$J$17</definedName>
    <definedName name="_xlnm.Print_Area" localSheetId="24">'Unit Betum'!$A$1:$J$100</definedName>
    <definedName name="_xlnm.Print_Titles" localSheetId="21">'Compo. Capa'!$1:$7</definedName>
    <definedName name="_xlnm.Print_Titles" localSheetId="25">'CRON 2'!$A:$D,'CRON 2'!$1:$8</definedName>
    <definedName name="_xlnm.Print_Titles" localSheetId="16">'Crono Basico'!$1:$10</definedName>
    <definedName name="_xlnm.Print_Titles" localSheetId="17">'Crono Comp.'!$1:$10</definedName>
    <definedName name="_xlnm.Print_Titles" localSheetId="3">Cub!$7:$9</definedName>
    <definedName name="_xlnm.Print_Titles" localSheetId="13">'Mem. Calc.'!$1:$8</definedName>
    <definedName name="_xlnm.Print_Titles" localSheetId="14">Orçam.!$1:$8</definedName>
    <definedName name="_xlnm.Print_Titles" localSheetId="24">'Unit Betum'!$1:$8</definedName>
  </definedNames>
  <calcPr calcId="181029" fullPrecision="0"/>
</workbook>
</file>

<file path=xl/calcChain.xml><?xml version="1.0" encoding="utf-8"?>
<calcChain xmlns="http://schemas.openxmlformats.org/spreadsheetml/2006/main">
  <c r="B35" i="1" l="1"/>
  <c r="G29" i="1"/>
  <c r="B29" i="1"/>
  <c r="G26" i="1"/>
  <c r="B26" i="1"/>
  <c r="I12" i="37" l="1"/>
  <c r="F13" i="24" l="1"/>
  <c r="F12" i="24"/>
  <c r="H12" i="24" s="1"/>
  <c r="F11" i="24"/>
  <c r="H11" i="24" s="1"/>
  <c r="H13" i="24"/>
  <c r="L12" i="37" l="1"/>
  <c r="H12" i="37" l="1"/>
  <c r="J12" i="37" l="1"/>
  <c r="J14" i="37" l="1"/>
  <c r="F113" i="34" l="1"/>
  <c r="F114" i="34" s="1"/>
  <c r="F109" i="34"/>
  <c r="F111" i="34" s="1"/>
  <c r="F108" i="34"/>
  <c r="F101" i="34"/>
  <c r="F100" i="34"/>
  <c r="F99" i="34"/>
  <c r="F96" i="34"/>
  <c r="F95" i="34"/>
  <c r="F94" i="34"/>
  <c r="F89" i="34"/>
  <c r="E75" i="34" s="1"/>
  <c r="F81" i="34"/>
  <c r="F80" i="34"/>
  <c r="F77" i="34"/>
  <c r="F76" i="34"/>
  <c r="D75" i="34"/>
  <c r="F75" i="34" l="1"/>
  <c r="F102" i="34"/>
  <c r="F103" i="34" s="1"/>
  <c r="G45" i="1" s="1"/>
  <c r="G46" i="1" s="1"/>
  <c r="F97" i="34"/>
  <c r="F115" i="34"/>
  <c r="G43" i="1" s="1"/>
  <c r="G44" i="1" s="1"/>
  <c r="F82" i="34"/>
  <c r="G48" i="1" s="1"/>
  <c r="A60" i="15" l="1"/>
  <c r="B60" i="15"/>
  <c r="C60" i="15"/>
  <c r="C11" i="7" l="1"/>
  <c r="H11" i="35"/>
  <c r="D11" i="10" l="1"/>
  <c r="C11" i="10"/>
  <c r="G13" i="15"/>
  <c r="E11" i="15"/>
  <c r="C69" i="15"/>
  <c r="B69" i="15"/>
  <c r="A69" i="15"/>
  <c r="C67" i="15"/>
  <c r="B67" i="15"/>
  <c r="A67" i="15"/>
  <c r="D11" i="8"/>
  <c r="C18" i="15" l="1"/>
  <c r="B18" i="15"/>
  <c r="A18" i="15"/>
  <c r="C17" i="15"/>
  <c r="B17" i="15"/>
  <c r="A17" i="15"/>
  <c r="C16" i="15"/>
  <c r="B16" i="15"/>
  <c r="A16" i="15"/>
  <c r="C15" i="15"/>
  <c r="B15" i="15"/>
  <c r="A15" i="15"/>
  <c r="B100" i="29" l="1"/>
  <c r="B99" i="29"/>
  <c r="C2" i="29"/>
  <c r="D2" i="38"/>
  <c r="C2" i="34"/>
  <c r="D2" i="24"/>
  <c r="B4" i="16"/>
  <c r="A6" i="16"/>
  <c r="A5" i="16"/>
  <c r="E4" i="16"/>
  <c r="D4" i="16"/>
  <c r="A4" i="16"/>
  <c r="G3" i="16"/>
  <c r="E3" i="16"/>
  <c r="B3" i="16"/>
  <c r="A3" i="16"/>
  <c r="C2" i="16"/>
  <c r="C1" i="16"/>
  <c r="C2" i="19"/>
  <c r="B26" i="39"/>
  <c r="B25" i="39"/>
  <c r="C2" i="39"/>
  <c r="A18" i="4"/>
  <c r="A17" i="4"/>
  <c r="A16" i="4"/>
  <c r="A15" i="4"/>
  <c r="A14" i="4"/>
  <c r="C2" i="4"/>
  <c r="I9" i="16"/>
  <c r="M60" i="1"/>
  <c r="D2" i="1"/>
  <c r="C2" i="15"/>
  <c r="C2" i="14"/>
  <c r="A2" i="37"/>
  <c r="C2" i="35"/>
  <c r="C2" i="31"/>
  <c r="C2" i="30"/>
  <c r="C2" i="8"/>
  <c r="A4" i="1"/>
  <c r="A5" i="1"/>
  <c r="A6" i="1"/>
  <c r="A3" i="1"/>
  <c r="C75" i="15" l="1"/>
  <c r="B75" i="15"/>
  <c r="A75" i="15"/>
  <c r="C74" i="15"/>
  <c r="B74" i="15"/>
  <c r="A74" i="15"/>
  <c r="C73" i="15"/>
  <c r="B73" i="15"/>
  <c r="A73" i="15"/>
  <c r="A10" i="35" l="1"/>
  <c r="A10" i="10"/>
  <c r="A10" i="31"/>
  <c r="A10" i="30"/>
  <c r="A10" i="8"/>
  <c r="A10" i="33"/>
  <c r="G11" i="8"/>
  <c r="F11" i="8"/>
  <c r="E20" i="29"/>
  <c r="F16" i="19"/>
  <c r="B11" i="38" l="1"/>
  <c r="C13" i="38" s="1"/>
  <c r="D23" i="29" l="1"/>
  <c r="F5" i="29"/>
  <c r="I3" i="29"/>
  <c r="B4" i="29"/>
  <c r="B3" i="29"/>
  <c r="C1" i="29"/>
  <c r="D5" i="36"/>
  <c r="E4" i="36"/>
  <c r="B4" i="36"/>
  <c r="B3" i="36"/>
  <c r="A2" i="36"/>
  <c r="A1" i="36"/>
  <c r="E5" i="24"/>
  <c r="A4" i="19"/>
  <c r="A5" i="19"/>
  <c r="A6" i="19"/>
  <c r="A3" i="19"/>
  <c r="D4" i="19"/>
  <c r="R20" i="39"/>
  <c r="R19" i="39"/>
  <c r="R18" i="39"/>
  <c r="R17" i="39"/>
  <c r="R14" i="39"/>
  <c r="R12" i="39"/>
  <c r="A20" i="39"/>
  <c r="A19" i="39"/>
  <c r="A18" i="39"/>
  <c r="A17" i="39"/>
  <c r="T16" i="39"/>
  <c r="A16" i="39"/>
  <c r="T15" i="39"/>
  <c r="A14" i="39"/>
  <c r="T13" i="39"/>
  <c r="A12" i="39"/>
  <c r="M5" i="39"/>
  <c r="B4" i="39"/>
  <c r="P3" i="39"/>
  <c r="B3" i="39"/>
  <c r="C1" i="39"/>
  <c r="M5" i="2"/>
  <c r="C5" i="4"/>
  <c r="J3" i="1"/>
  <c r="H6" i="1"/>
  <c r="C5" i="15"/>
  <c r="F5" i="14"/>
  <c r="I3" i="14"/>
  <c r="B4" i="14"/>
  <c r="B3" i="14"/>
  <c r="C1" i="14"/>
  <c r="F4" i="38"/>
  <c r="E5" i="38"/>
  <c r="B4" i="38"/>
  <c r="B3" i="38"/>
  <c r="D1" i="38"/>
  <c r="J3" i="37"/>
  <c r="L3" i="37"/>
  <c r="B4" i="37"/>
  <c r="B3" i="37"/>
  <c r="A1" i="37"/>
  <c r="F5" i="35"/>
  <c r="I4" i="35"/>
  <c r="B4" i="35"/>
  <c r="B3" i="35"/>
  <c r="C1" i="35"/>
  <c r="F5" i="10"/>
  <c r="I4" i="10"/>
  <c r="B4" i="10"/>
  <c r="B3" i="10"/>
  <c r="C2" i="10"/>
  <c r="C1" i="10"/>
  <c r="F5" i="31"/>
  <c r="I4" i="31"/>
  <c r="B4" i="31"/>
  <c r="B3" i="31"/>
  <c r="C1" i="31"/>
  <c r="F5" i="30"/>
  <c r="F5" i="8"/>
  <c r="I5" i="33"/>
  <c r="F5" i="32"/>
  <c r="G5" i="11"/>
  <c r="L5" i="12"/>
  <c r="A10" i="32" l="1"/>
  <c r="G32" i="14" l="1"/>
  <c r="G30" i="14"/>
  <c r="B87" i="29" l="1"/>
  <c r="C83" i="29"/>
  <c r="C91" i="29" s="1"/>
  <c r="B79" i="29"/>
  <c r="C81" i="29"/>
  <c r="D28" i="29" l="1"/>
  <c r="C85" i="29"/>
  <c r="C89" i="29" l="1"/>
  <c r="B82" i="15"/>
  <c r="C82" i="15"/>
  <c r="C36" i="38"/>
  <c r="C35" i="38"/>
  <c r="G19" i="38"/>
  <c r="G18" i="38"/>
  <c r="E14" i="38"/>
  <c r="G14" i="38" s="1"/>
  <c r="G27" i="38"/>
  <c r="G26" i="38"/>
  <c r="G28" i="38" s="1"/>
  <c r="F13" i="38" s="1"/>
  <c r="G13" i="38" s="1"/>
  <c r="G25" i="38"/>
  <c r="G20" i="38" l="1"/>
  <c r="C93" i="29"/>
  <c r="F13" i="36" l="1"/>
  <c r="F14" i="36" s="1"/>
  <c r="F25" i="36" s="1"/>
  <c r="F17" i="36"/>
  <c r="F18" i="36"/>
  <c r="F19" i="36"/>
  <c r="F20" i="36"/>
  <c r="F21" i="36"/>
  <c r="F22" i="36"/>
  <c r="F24" i="36" l="1"/>
  <c r="F26" i="36" s="1"/>
  <c r="B30" i="36"/>
  <c r="B29" i="36"/>
  <c r="J19" i="12" l="1"/>
  <c r="E46" i="15" s="1"/>
  <c r="K19" i="12"/>
  <c r="L19" i="12"/>
  <c r="M19" i="12"/>
  <c r="N19" i="12"/>
  <c r="O19" i="12"/>
  <c r="P19" i="12"/>
  <c r="Q19" i="12"/>
  <c r="D19" i="12"/>
  <c r="E19" i="12"/>
  <c r="F19" i="12"/>
  <c r="G19" i="12"/>
  <c r="H19" i="12"/>
  <c r="I19" i="12"/>
  <c r="A46" i="15"/>
  <c r="A47" i="15"/>
  <c r="C46" i="15"/>
  <c r="B46" i="15"/>
  <c r="C68" i="15" l="1"/>
  <c r="A68" i="15"/>
  <c r="B68" i="15"/>
  <c r="F66" i="34" l="1"/>
  <c r="F67" i="34" s="1"/>
  <c r="F63" i="34"/>
  <c r="F64" i="34" s="1"/>
  <c r="F60" i="34"/>
  <c r="F59" i="34"/>
  <c r="F58" i="34"/>
  <c r="F57" i="34"/>
  <c r="F56" i="34"/>
  <c r="F61" i="34" l="1"/>
  <c r="F68" i="34" s="1"/>
  <c r="R77" i="2"/>
  <c r="B77" i="2"/>
  <c r="A77" i="2"/>
  <c r="C72" i="15"/>
  <c r="B72" i="15"/>
  <c r="A72" i="15"/>
  <c r="B19" i="35"/>
  <c r="B18" i="35"/>
  <c r="G11" i="35"/>
  <c r="F11" i="35"/>
  <c r="B11" i="35"/>
  <c r="I11" i="35" l="1"/>
  <c r="F69" i="34"/>
  <c r="F70" i="34" s="1"/>
  <c r="G30" i="1" s="1"/>
  <c r="F26" i="14" l="1"/>
  <c r="T74" i="2" l="1"/>
  <c r="T78" i="2"/>
  <c r="T54" i="2"/>
  <c r="T55" i="2"/>
  <c r="T56" i="2"/>
  <c r="T61" i="2"/>
  <c r="T44" i="2"/>
  <c r="T52" i="2"/>
  <c r="T33" i="2"/>
  <c r="T17" i="2"/>
  <c r="T18" i="2"/>
  <c r="T23" i="2"/>
  <c r="T24" i="2"/>
  <c r="T25" i="2"/>
  <c r="T27" i="2"/>
  <c r="R79" i="2"/>
  <c r="R80" i="2"/>
  <c r="R81" i="2"/>
  <c r="R82" i="2"/>
  <c r="R83" i="2"/>
  <c r="A80" i="2"/>
  <c r="B80" i="2"/>
  <c r="A81" i="2"/>
  <c r="B81" i="2"/>
  <c r="A82" i="2"/>
  <c r="B82" i="2"/>
  <c r="A83" i="2"/>
  <c r="B83" i="2"/>
  <c r="B79" i="2"/>
  <c r="A79" i="2"/>
  <c r="R75" i="2"/>
  <c r="R76" i="2"/>
  <c r="A76" i="2"/>
  <c r="B76" i="2"/>
  <c r="B75" i="2"/>
  <c r="A75" i="2"/>
  <c r="R62" i="2"/>
  <c r="R63" i="2"/>
  <c r="R64" i="2"/>
  <c r="R65" i="2"/>
  <c r="R66" i="2"/>
  <c r="R67" i="2"/>
  <c r="R68" i="2"/>
  <c r="R69" i="2"/>
  <c r="R70" i="2"/>
  <c r="R71" i="2"/>
  <c r="R72" i="2"/>
  <c r="R73" i="2"/>
  <c r="R57" i="2"/>
  <c r="R58" i="2"/>
  <c r="R59" i="2"/>
  <c r="R60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B62" i="2"/>
  <c r="A62" i="2"/>
  <c r="A58" i="2"/>
  <c r="B58" i="2"/>
  <c r="A59" i="2"/>
  <c r="B59" i="2"/>
  <c r="A60" i="2"/>
  <c r="B60" i="2"/>
  <c r="B57" i="2"/>
  <c r="A57" i="2"/>
  <c r="R53" i="2"/>
  <c r="R46" i="2"/>
  <c r="R47" i="2"/>
  <c r="R48" i="2"/>
  <c r="R49" i="2"/>
  <c r="R50" i="2"/>
  <c r="R51" i="2"/>
  <c r="R34" i="2"/>
  <c r="R35" i="2"/>
  <c r="R36" i="2"/>
  <c r="R37" i="2"/>
  <c r="R38" i="2"/>
  <c r="R39" i="2"/>
  <c r="R40" i="2"/>
  <c r="R41" i="2"/>
  <c r="R42" i="2"/>
  <c r="R43" i="2"/>
  <c r="R45" i="2"/>
  <c r="B53" i="2"/>
  <c r="A53" i="2"/>
  <c r="A46" i="2"/>
  <c r="B46" i="2"/>
  <c r="A47" i="2"/>
  <c r="B47" i="2"/>
  <c r="A48" i="2"/>
  <c r="B48" i="2"/>
  <c r="A49" i="2"/>
  <c r="B49" i="2"/>
  <c r="A50" i="2"/>
  <c r="B50" i="2"/>
  <c r="A51" i="2"/>
  <c r="B51" i="2"/>
  <c r="B45" i="2"/>
  <c r="A45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B34" i="2"/>
  <c r="A34" i="2"/>
  <c r="R26" i="2"/>
  <c r="R28" i="2"/>
  <c r="R29" i="2"/>
  <c r="R30" i="2"/>
  <c r="R31" i="2"/>
  <c r="R32" i="2"/>
  <c r="B29" i="2"/>
  <c r="B30" i="2"/>
  <c r="B31" i="2"/>
  <c r="B32" i="2"/>
  <c r="B28" i="2"/>
  <c r="A32" i="2"/>
  <c r="A29" i="2"/>
  <c r="A30" i="2"/>
  <c r="A31" i="2"/>
  <c r="A28" i="2"/>
  <c r="B26" i="2"/>
  <c r="A26" i="2"/>
  <c r="R20" i="2"/>
  <c r="R21" i="2"/>
  <c r="R22" i="2"/>
  <c r="R19" i="2"/>
  <c r="A20" i="2"/>
  <c r="B20" i="2"/>
  <c r="A21" i="2"/>
  <c r="B21" i="2"/>
  <c r="A22" i="2"/>
  <c r="B22" i="2"/>
  <c r="B19" i="2"/>
  <c r="A19" i="2"/>
  <c r="R12" i="2"/>
  <c r="R13" i="2"/>
  <c r="R14" i="2"/>
  <c r="R15" i="2"/>
  <c r="R16" i="2"/>
  <c r="B13" i="2"/>
  <c r="B14" i="2"/>
  <c r="B15" i="2"/>
  <c r="B16" i="2"/>
  <c r="A16" i="2"/>
  <c r="A13" i="2"/>
  <c r="A14" i="2"/>
  <c r="A15" i="2"/>
  <c r="A12" i="2"/>
  <c r="B12" i="2"/>
  <c r="C25" i="15" l="1"/>
  <c r="B25" i="15"/>
  <c r="A25" i="15"/>
  <c r="C19" i="12" l="1"/>
  <c r="E4" i="19"/>
  <c r="B4" i="19"/>
  <c r="G3" i="19"/>
  <c r="E3" i="19"/>
  <c r="B3" i="19"/>
  <c r="C1" i="19"/>
  <c r="C1" i="4"/>
  <c r="B3" i="4"/>
  <c r="D3" i="4"/>
  <c r="F3" i="4"/>
  <c r="B4" i="4"/>
  <c r="D4" i="4"/>
  <c r="P3" i="2"/>
  <c r="B4" i="2"/>
  <c r="B3" i="2"/>
  <c r="A2" i="2"/>
  <c r="A1" i="2"/>
  <c r="G4" i="24" l="1"/>
  <c r="B4" i="24"/>
  <c r="B3" i="24"/>
  <c r="D1" i="24"/>
  <c r="E11" i="30"/>
  <c r="D11" i="30"/>
  <c r="I47" i="34"/>
  <c r="A33" i="34"/>
  <c r="A9" i="34"/>
  <c r="D5" i="34"/>
  <c r="B4" i="34"/>
  <c r="B3" i="34"/>
  <c r="C1" i="34"/>
  <c r="F12" i="34"/>
  <c r="F13" i="34"/>
  <c r="F14" i="34"/>
  <c r="F15" i="34"/>
  <c r="F17" i="34"/>
  <c r="F21" i="34"/>
  <c r="F22" i="34" s="1"/>
  <c r="F25" i="34"/>
  <c r="F36" i="34"/>
  <c r="F37" i="34"/>
  <c r="F38" i="34"/>
  <c r="F39" i="34"/>
  <c r="F40" i="34"/>
  <c r="F43" i="34"/>
  <c r="F44" i="34" s="1"/>
  <c r="F46" i="34"/>
  <c r="F47" i="34"/>
  <c r="F26" i="34"/>
  <c r="F16" i="34"/>
  <c r="F18" i="34" l="1"/>
  <c r="F27" i="34"/>
  <c r="F41" i="34"/>
  <c r="F48" i="34"/>
  <c r="F29" i="34" l="1"/>
  <c r="F30" i="34" s="1"/>
  <c r="F31" i="34" s="1"/>
  <c r="G31" i="1" s="1"/>
  <c r="F49" i="34"/>
  <c r="F50" i="34" s="1"/>
  <c r="F51" i="34" s="1"/>
  <c r="G32" i="1" s="1"/>
  <c r="I13" i="35" l="1"/>
  <c r="C41" i="15" l="1"/>
  <c r="B41" i="15"/>
  <c r="A41" i="15"/>
  <c r="A42" i="15"/>
  <c r="B42" i="15"/>
  <c r="C42" i="15"/>
  <c r="C35" i="15"/>
  <c r="B35" i="15"/>
  <c r="A35" i="15"/>
  <c r="C30" i="15"/>
  <c r="B30" i="15"/>
  <c r="A30" i="15"/>
  <c r="B78" i="15"/>
  <c r="C78" i="15"/>
  <c r="B79" i="15"/>
  <c r="C79" i="15"/>
  <c r="B80" i="15"/>
  <c r="C80" i="15"/>
  <c r="B81" i="15"/>
  <c r="C81" i="15"/>
  <c r="C77" i="15"/>
  <c r="B77" i="15"/>
  <c r="B18" i="31"/>
  <c r="B17" i="31"/>
  <c r="B11" i="31"/>
  <c r="B11" i="30"/>
  <c r="B17" i="30"/>
  <c r="B16" i="30"/>
  <c r="B17" i="33"/>
  <c r="B16" i="33"/>
  <c r="E34" i="32"/>
  <c r="E33" i="32"/>
  <c r="G5" i="32"/>
  <c r="B4" i="32"/>
  <c r="B3" i="32"/>
  <c r="E2" i="32"/>
  <c r="E1" i="32"/>
  <c r="B11" i="33"/>
  <c r="L4" i="33"/>
  <c r="B4" i="33"/>
  <c r="B3" i="33"/>
  <c r="C2" i="33"/>
  <c r="C1" i="33"/>
  <c r="I10" i="32"/>
  <c r="H21" i="32" l="1"/>
  <c r="I13" i="32"/>
  <c r="I15" i="32" s="1"/>
  <c r="E54" i="15" s="1"/>
  <c r="I4" i="30"/>
  <c r="B4" i="30"/>
  <c r="B3" i="30"/>
  <c r="C1" i="30"/>
  <c r="E3" i="15" l="1"/>
  <c r="D3" i="15"/>
  <c r="D4" i="15"/>
  <c r="O4" i="12"/>
  <c r="B4" i="12"/>
  <c r="B3" i="12"/>
  <c r="A2" i="12"/>
  <c r="A1" i="12"/>
  <c r="J4" i="11"/>
  <c r="B4" i="11"/>
  <c r="B3" i="11"/>
  <c r="A2" i="11"/>
  <c r="A1" i="11"/>
  <c r="I51" i="20" l="1"/>
  <c r="J51" i="20" s="1"/>
  <c r="J50" i="20"/>
  <c r="J46" i="20"/>
  <c r="J47" i="20" s="1"/>
  <c r="J42" i="20"/>
  <c r="J41" i="20"/>
  <c r="J40" i="20"/>
  <c r="J39" i="20"/>
  <c r="J38" i="20"/>
  <c r="I6" i="20"/>
  <c r="B5" i="20"/>
  <c r="B4" i="20"/>
  <c r="A2" i="20"/>
  <c r="A1" i="20"/>
  <c r="G11" i="10"/>
  <c r="F11" i="10"/>
  <c r="J52" i="20" l="1"/>
  <c r="J43" i="20"/>
  <c r="C13" i="7"/>
  <c r="F17" i="15" s="1"/>
  <c r="K52" i="11"/>
  <c r="I52" i="11"/>
  <c r="B52" i="11"/>
  <c r="B51" i="11"/>
  <c r="B50" i="11"/>
  <c r="B49" i="11"/>
  <c r="I48" i="11"/>
  <c r="F48" i="11"/>
  <c r="E48" i="11"/>
  <c r="I47" i="11"/>
  <c r="F47" i="11"/>
  <c r="E47" i="11"/>
  <c r="I46" i="11"/>
  <c r="F46" i="11"/>
  <c r="E46" i="11"/>
  <c r="I45" i="11"/>
  <c r="F45" i="11"/>
  <c r="E45" i="11"/>
  <c r="I44" i="11"/>
  <c r="F44" i="11"/>
  <c r="E44" i="11"/>
  <c r="I43" i="11"/>
  <c r="F43" i="11"/>
  <c r="E43" i="11"/>
  <c r="B40" i="11"/>
  <c r="B39" i="11"/>
  <c r="B38" i="11"/>
  <c r="B37" i="11"/>
  <c r="E36" i="11"/>
  <c r="E35" i="11"/>
  <c r="E34" i="11"/>
  <c r="E33" i="11"/>
  <c r="E32" i="11"/>
  <c r="E31" i="11"/>
  <c r="F29" i="11"/>
  <c r="F28" i="11"/>
  <c r="F27" i="11"/>
  <c r="F26" i="11"/>
  <c r="J25" i="11"/>
  <c r="J26" i="11" s="1"/>
  <c r="J27" i="11" s="1"/>
  <c r="J28" i="11" s="1"/>
  <c r="J29" i="11" s="1"/>
  <c r="F25" i="11"/>
  <c r="F24" i="11"/>
  <c r="G22" i="11"/>
  <c r="G40" i="11" s="1"/>
  <c r="E22" i="11"/>
  <c r="E40" i="11" s="1"/>
  <c r="G21" i="11"/>
  <c r="G39" i="11" s="1"/>
  <c r="G51" i="11" s="1"/>
  <c r="F21" i="11"/>
  <c r="K51" i="11" s="1"/>
  <c r="E21" i="11"/>
  <c r="G20" i="11"/>
  <c r="G38" i="11" s="1"/>
  <c r="G50" i="11" s="1"/>
  <c r="F20" i="11"/>
  <c r="E20" i="11"/>
  <c r="E38" i="11" s="1"/>
  <c r="G19" i="11"/>
  <c r="G37" i="11" s="1"/>
  <c r="G49" i="11" s="1"/>
  <c r="F19" i="11"/>
  <c r="K49" i="11" s="1"/>
  <c r="E19" i="11"/>
  <c r="F51" i="11" l="1"/>
  <c r="F49" i="11"/>
  <c r="E37" i="11"/>
  <c r="J55" i="20"/>
  <c r="J56" i="20" s="1"/>
  <c r="J57" i="20" s="1"/>
  <c r="E50" i="11"/>
  <c r="F50" i="11"/>
  <c r="E39" i="11"/>
  <c r="K50" i="11"/>
  <c r="E49" i="11" l="1"/>
  <c r="I49" i="11" s="1"/>
  <c r="E51" i="11"/>
  <c r="I51" i="11" s="1"/>
  <c r="I50" i="11"/>
  <c r="I27" i="20" l="1"/>
  <c r="D26" i="28" l="1"/>
  <c r="F18" i="19"/>
  <c r="F6" i="7" s="1"/>
  <c r="A11" i="7"/>
  <c r="A11" i="35" s="1"/>
  <c r="K6" i="1" l="1"/>
  <c r="I45" i="1" s="1"/>
  <c r="G4" i="16"/>
  <c r="F6" i="29"/>
  <c r="G3" i="36"/>
  <c r="F6" i="35"/>
  <c r="F6" i="10"/>
  <c r="H3" i="38"/>
  <c r="F6" i="31"/>
  <c r="M6" i="39"/>
  <c r="F6" i="14"/>
  <c r="J5" i="37"/>
  <c r="G4" i="19"/>
  <c r="M6" i="2"/>
  <c r="F4" i="4"/>
  <c r="E6" i="24"/>
  <c r="F4" i="34"/>
  <c r="I4" i="32"/>
  <c r="I6" i="33"/>
  <c r="F6" i="30"/>
  <c r="E4" i="15"/>
  <c r="L6" i="12"/>
  <c r="G6" i="11"/>
  <c r="F7" i="20"/>
  <c r="A11" i="30"/>
  <c r="A11" i="31"/>
  <c r="A11" i="33"/>
  <c r="J13" i="20"/>
  <c r="J14" i="20"/>
  <c r="J15" i="20"/>
  <c r="J16" i="20"/>
  <c r="J18" i="20"/>
  <c r="C54" i="15"/>
  <c r="B54" i="15"/>
  <c r="A54" i="15"/>
  <c r="I33" i="1" l="1"/>
  <c r="I28" i="1"/>
  <c r="I25" i="1"/>
  <c r="I32" i="1"/>
  <c r="I43" i="1"/>
  <c r="I27" i="1"/>
  <c r="I31" i="1"/>
  <c r="I35" i="1"/>
  <c r="I11" i="1"/>
  <c r="I39" i="1"/>
  <c r="I20" i="1"/>
  <c r="I47" i="1"/>
  <c r="I30" i="1"/>
  <c r="I44" i="1"/>
  <c r="I24" i="1"/>
  <c r="I46" i="1"/>
  <c r="I26" i="1"/>
  <c r="I48" i="1"/>
  <c r="I21" i="1"/>
  <c r="I10" i="1"/>
  <c r="I29" i="1"/>
  <c r="I19" i="1"/>
  <c r="I40" i="1"/>
  <c r="I36" i="1"/>
  <c r="I34" i="1"/>
  <c r="A34" i="28"/>
  <c r="A32" i="28"/>
  <c r="A30" i="28"/>
  <c r="A28" i="28"/>
  <c r="A26" i="28"/>
  <c r="A24" i="28"/>
  <c r="A22" i="28"/>
  <c r="A20" i="28"/>
  <c r="A18" i="28"/>
  <c r="A16" i="28"/>
  <c r="A12" i="28"/>
  <c r="A10" i="28"/>
  <c r="A23" i="16"/>
  <c r="A24" i="16"/>
  <c r="A25" i="16"/>
  <c r="A22" i="16"/>
  <c r="A21" i="16"/>
  <c r="A16" i="16"/>
  <c r="A17" i="16"/>
  <c r="A18" i="16"/>
  <c r="A19" i="16"/>
  <c r="A15" i="16"/>
  <c r="A12" i="16"/>
  <c r="A10" i="16"/>
  <c r="P34" i="28"/>
  <c r="P32" i="28"/>
  <c r="P30" i="28"/>
  <c r="P28" i="28"/>
  <c r="P27" i="28"/>
  <c r="P26" i="28"/>
  <c r="P24" i="28"/>
  <c r="P22" i="28"/>
  <c r="P20" i="28"/>
  <c r="P18" i="28"/>
  <c r="P16" i="28"/>
  <c r="P15" i="28"/>
  <c r="P14" i="28"/>
  <c r="P12" i="28"/>
  <c r="P10" i="28"/>
  <c r="H8" i="28"/>
  <c r="J8" i="28" s="1"/>
  <c r="L8" i="28" s="1"/>
  <c r="N8" i="28" s="1"/>
  <c r="A76" i="15" l="1"/>
  <c r="D11" i="11" l="1"/>
  <c r="L11" i="11" s="1"/>
  <c r="I11" i="10"/>
  <c r="I14" i="10" s="1"/>
  <c r="B11" i="8"/>
  <c r="C11" i="8"/>
  <c r="C13" i="8" s="1"/>
  <c r="I11" i="8"/>
  <c r="I13" i="8" s="1"/>
  <c r="B11" i="10" l="1"/>
  <c r="B12" i="37"/>
  <c r="E11" i="8"/>
  <c r="E13" i="8" s="1"/>
  <c r="E11" i="7"/>
  <c r="I11" i="7"/>
  <c r="I13" i="7" s="1"/>
  <c r="E13" i="32" s="1"/>
  <c r="D16" i="11"/>
  <c r="A43" i="15"/>
  <c r="B43" i="15"/>
  <c r="C43" i="15"/>
  <c r="D15" i="11"/>
  <c r="D22" i="11"/>
  <c r="E13" i="7" l="1"/>
  <c r="E10" i="32"/>
  <c r="H10" i="32" s="1"/>
  <c r="H13" i="32" s="1"/>
  <c r="H15" i="32" s="1"/>
  <c r="H20" i="32" s="1"/>
  <c r="D19" i="11"/>
  <c r="L19" i="11" s="1"/>
  <c r="E42" i="15"/>
  <c r="D20" i="11"/>
  <c r="D38" i="11" s="1"/>
  <c r="E41" i="15"/>
  <c r="L16" i="11"/>
  <c r="D35" i="11"/>
  <c r="D28" i="11"/>
  <c r="L28" i="11" s="1"/>
  <c r="D40" i="11"/>
  <c r="L22" i="11"/>
  <c r="D27" i="11"/>
  <c r="L27" i="11" s="1"/>
  <c r="L15" i="11"/>
  <c r="D34" i="11"/>
  <c r="J11" i="8"/>
  <c r="E11" i="10"/>
  <c r="C11" i="35" s="1"/>
  <c r="C14" i="10"/>
  <c r="J11" i="7"/>
  <c r="E43" i="15"/>
  <c r="H22" i="32" l="1"/>
  <c r="I24" i="32" s="1"/>
  <c r="E55" i="15" s="1"/>
  <c r="E53" i="15"/>
  <c r="J13" i="8"/>
  <c r="C11" i="31"/>
  <c r="C11" i="30"/>
  <c r="F11" i="33"/>
  <c r="I11" i="33" s="1"/>
  <c r="C13" i="35"/>
  <c r="J13" i="7"/>
  <c r="C11" i="33"/>
  <c r="C13" i="33" s="1"/>
  <c r="D37" i="11"/>
  <c r="L37" i="11" s="1"/>
  <c r="L20" i="11"/>
  <c r="D46" i="11"/>
  <c r="L34" i="11"/>
  <c r="D47" i="11"/>
  <c r="L35" i="11"/>
  <c r="D52" i="11"/>
  <c r="L52" i="11" s="1"/>
  <c r="L40" i="11"/>
  <c r="D50" i="11"/>
  <c r="L50" i="11" s="1"/>
  <c r="L38" i="11"/>
  <c r="E14" i="10"/>
  <c r="J11" i="10"/>
  <c r="J14" i="10" s="1"/>
  <c r="A11" i="12"/>
  <c r="A12" i="12" s="1"/>
  <c r="A13" i="12" s="1"/>
  <c r="A14" i="12" s="1"/>
  <c r="A15" i="12" s="1"/>
  <c r="A16" i="12" s="1"/>
  <c r="A17" i="12" s="1"/>
  <c r="C13" i="31" l="1"/>
  <c r="K11" i="33"/>
  <c r="G11" i="31"/>
  <c r="G13" i="31" s="1"/>
  <c r="F11" i="31"/>
  <c r="F13" i="31" s="1"/>
  <c r="E11" i="35"/>
  <c r="C13" i="30"/>
  <c r="F11" i="30"/>
  <c r="F13" i="30" s="1"/>
  <c r="G11" i="30"/>
  <c r="G13" i="30" s="1"/>
  <c r="J11" i="33"/>
  <c r="J13" i="33" s="1"/>
  <c r="D49" i="11"/>
  <c r="L49" i="11" s="1"/>
  <c r="K47" i="11"/>
  <c r="G47" i="11"/>
  <c r="K46" i="11"/>
  <c r="G46" i="11"/>
  <c r="D14" i="11"/>
  <c r="K13" i="33" l="1"/>
  <c r="E62" i="15" s="1"/>
  <c r="H11" i="31"/>
  <c r="J11" i="35"/>
  <c r="E13" i="35"/>
  <c r="H11" i="30"/>
  <c r="L11" i="30" s="1"/>
  <c r="L13" i="30" s="1"/>
  <c r="E69" i="15" s="1"/>
  <c r="F36" i="1" s="1"/>
  <c r="C71" i="2"/>
  <c r="E61" i="15"/>
  <c r="L11" i="33"/>
  <c r="L46" i="11"/>
  <c r="D13" i="11"/>
  <c r="D25" i="11" s="1"/>
  <c r="E30" i="15"/>
  <c r="L14" i="11"/>
  <c r="D26" i="11"/>
  <c r="L47" i="11"/>
  <c r="L13" i="33" l="1"/>
  <c r="P11" i="33"/>
  <c r="P13" i="33" s="1"/>
  <c r="E59" i="15" s="1"/>
  <c r="L11" i="31"/>
  <c r="L13" i="31" s="1"/>
  <c r="E67" i="15" s="1"/>
  <c r="F34" i="1" s="1"/>
  <c r="K11" i="31"/>
  <c r="K13" i="31" s="1"/>
  <c r="E66" i="15" s="1"/>
  <c r="H36" i="1"/>
  <c r="J36" i="1"/>
  <c r="J13" i="35"/>
  <c r="L11" i="35"/>
  <c r="L13" i="35" s="1"/>
  <c r="C14" i="35" s="1"/>
  <c r="E72" i="15" s="1"/>
  <c r="F40" i="1" s="1"/>
  <c r="E58" i="15"/>
  <c r="H13" i="31"/>
  <c r="E71" i="2"/>
  <c r="G71" i="2"/>
  <c r="O71" i="2"/>
  <c r="M71" i="2"/>
  <c r="K71" i="2"/>
  <c r="I71" i="2"/>
  <c r="K11" i="30"/>
  <c r="H13" i="30"/>
  <c r="C70" i="2"/>
  <c r="Q11" i="33"/>
  <c r="L13" i="11"/>
  <c r="E35" i="15"/>
  <c r="D10" i="11"/>
  <c r="D24" i="11" s="1"/>
  <c r="L24" i="11" s="1"/>
  <c r="E29" i="15"/>
  <c r="L25" i="11"/>
  <c r="D32" i="11"/>
  <c r="L26" i="11"/>
  <c r="D33" i="11"/>
  <c r="A11" i="8"/>
  <c r="A12" i="37" s="1"/>
  <c r="F33" i="1" l="1"/>
  <c r="E34" i="15"/>
  <c r="K13" i="30"/>
  <c r="Q13" i="33"/>
  <c r="E60" i="15" s="1"/>
  <c r="F27" i="1" s="1"/>
  <c r="M70" i="2"/>
  <c r="I70" i="2"/>
  <c r="G70" i="2"/>
  <c r="K70" i="2"/>
  <c r="E70" i="2"/>
  <c r="O70" i="2"/>
  <c r="Q71" i="2"/>
  <c r="T71" i="2" s="1"/>
  <c r="J40" i="1"/>
  <c r="C77" i="2" s="1"/>
  <c r="H40" i="1"/>
  <c r="L10" i="11"/>
  <c r="K9" i="11" s="1"/>
  <c r="D31" i="11"/>
  <c r="D43" i="11" s="1"/>
  <c r="D45" i="11"/>
  <c r="L33" i="11"/>
  <c r="D44" i="11"/>
  <c r="L32" i="11"/>
  <c r="A11" i="10"/>
  <c r="A18" i="2"/>
  <c r="B12" i="4"/>
  <c r="B14" i="39" s="1"/>
  <c r="H28" i="14"/>
  <c r="A71" i="15"/>
  <c r="A70" i="15"/>
  <c r="A58" i="15"/>
  <c r="A59" i="15"/>
  <c r="A61" i="15"/>
  <c r="A62" i="15"/>
  <c r="A63" i="15"/>
  <c r="A64" i="15"/>
  <c r="A65" i="15"/>
  <c r="A66" i="15"/>
  <c r="A57" i="15"/>
  <c r="A56" i="15"/>
  <c r="A53" i="15"/>
  <c r="A55" i="15"/>
  <c r="A52" i="15"/>
  <c r="A51" i="15"/>
  <c r="A50" i="15"/>
  <c r="C40" i="15"/>
  <c r="C44" i="15"/>
  <c r="C45" i="15"/>
  <c r="C47" i="15"/>
  <c r="A40" i="15"/>
  <c r="A44" i="15"/>
  <c r="A45" i="15"/>
  <c r="A37" i="15"/>
  <c r="B37" i="15"/>
  <c r="C37" i="15"/>
  <c r="A38" i="15"/>
  <c r="B38" i="15"/>
  <c r="C38" i="15"/>
  <c r="A31" i="15"/>
  <c r="B31" i="15"/>
  <c r="C31" i="15"/>
  <c r="A32" i="15"/>
  <c r="B32" i="15"/>
  <c r="C32" i="15"/>
  <c r="A33" i="15"/>
  <c r="B33" i="15"/>
  <c r="C33" i="15"/>
  <c r="A34" i="15"/>
  <c r="B34" i="15"/>
  <c r="C34" i="15"/>
  <c r="A36" i="15"/>
  <c r="B36" i="15"/>
  <c r="C36" i="15"/>
  <c r="A29" i="15"/>
  <c r="A28" i="15"/>
  <c r="B40" i="15"/>
  <c r="B44" i="15"/>
  <c r="B45" i="15"/>
  <c r="B47" i="15"/>
  <c r="A48" i="15"/>
  <c r="A39" i="15"/>
  <c r="A24" i="15"/>
  <c r="A26" i="15"/>
  <c r="A27" i="15"/>
  <c r="A23" i="15"/>
  <c r="A22" i="15"/>
  <c r="A21" i="15"/>
  <c r="A20" i="15"/>
  <c r="A19" i="15"/>
  <c r="A11" i="15"/>
  <c r="A10" i="15"/>
  <c r="A9" i="15"/>
  <c r="A14" i="15"/>
  <c r="B14" i="15"/>
  <c r="B13" i="15"/>
  <c r="C14" i="15"/>
  <c r="C13" i="15"/>
  <c r="A12" i="15"/>
  <c r="A13" i="15"/>
  <c r="B12" i="15"/>
  <c r="E45" i="15"/>
  <c r="E47" i="15"/>
  <c r="E32" i="15"/>
  <c r="B5" i="7"/>
  <c r="F20" i="14"/>
  <c r="H27" i="1" l="1"/>
  <c r="J27" i="1"/>
  <c r="E68" i="15"/>
  <c r="F35" i="1" s="1"/>
  <c r="C40" i="2"/>
  <c r="B5" i="16"/>
  <c r="B5" i="29"/>
  <c r="B5" i="36"/>
  <c r="B5" i="35"/>
  <c r="B5" i="38"/>
  <c r="B5" i="10"/>
  <c r="B5" i="14"/>
  <c r="B5" i="39"/>
  <c r="B5" i="31"/>
  <c r="B5" i="37"/>
  <c r="M77" i="2"/>
  <c r="I77" i="2"/>
  <c r="O77" i="2"/>
  <c r="K77" i="2"/>
  <c r="Q70" i="2"/>
  <c r="T70" i="2" s="1"/>
  <c r="B5" i="19"/>
  <c r="B5" i="4"/>
  <c r="B5" i="2"/>
  <c r="B5" i="24"/>
  <c r="B5" i="34"/>
  <c r="L31" i="11"/>
  <c r="D21" i="11"/>
  <c r="D39" i="11" s="1"/>
  <c r="E40" i="15"/>
  <c r="E37" i="15"/>
  <c r="B6" i="20"/>
  <c r="B5" i="32"/>
  <c r="B5" i="33"/>
  <c r="B5" i="30"/>
  <c r="B5" i="12"/>
  <c r="B5" i="11"/>
  <c r="G45" i="11"/>
  <c r="K45" i="11"/>
  <c r="G44" i="11"/>
  <c r="K44" i="11"/>
  <c r="G43" i="11"/>
  <c r="K43" i="11"/>
  <c r="B18" i="2"/>
  <c r="B12" i="28"/>
  <c r="B12" i="16"/>
  <c r="E31" i="15"/>
  <c r="J34" i="1" l="1"/>
  <c r="H34" i="1"/>
  <c r="I40" i="2"/>
  <c r="K40" i="2"/>
  <c r="E40" i="2"/>
  <c r="M40" i="2"/>
  <c r="G40" i="2"/>
  <c r="Q77" i="2"/>
  <c r="T77" i="2" s="1"/>
  <c r="E44" i="15"/>
  <c r="L21" i="11"/>
  <c r="L44" i="11"/>
  <c r="C46" i="2"/>
  <c r="E36" i="15"/>
  <c r="L45" i="11"/>
  <c r="D51" i="11"/>
  <c r="L51" i="11" s="1"/>
  <c r="L39" i="11"/>
  <c r="L43" i="11"/>
  <c r="Q40" i="2" l="1"/>
  <c r="T40" i="2" s="1"/>
  <c r="C42" i="2"/>
  <c r="G46" i="2"/>
  <c r="K46" i="2"/>
  <c r="I46" i="2"/>
  <c r="E46" i="2"/>
  <c r="M46" i="2"/>
  <c r="C35" i="2"/>
  <c r="C41" i="2" l="1"/>
  <c r="E42" i="2"/>
  <c r="I42" i="2"/>
  <c r="K42" i="2"/>
  <c r="G42" i="2"/>
  <c r="M42" i="2"/>
  <c r="Q46" i="2"/>
  <c r="T46" i="2" s="1"/>
  <c r="M35" i="2"/>
  <c r="K35" i="2"/>
  <c r="I35" i="2"/>
  <c r="G35" i="2"/>
  <c r="E35" i="2"/>
  <c r="B31" i="19"/>
  <c r="B30" i="19"/>
  <c r="Q42" i="2" l="1"/>
  <c r="T42" i="2" s="1"/>
  <c r="E41" i="2"/>
  <c r="I41" i="2"/>
  <c r="G41" i="2"/>
  <c r="M41" i="2"/>
  <c r="K41" i="2"/>
  <c r="Q35" i="2"/>
  <c r="T35" i="2" s="1"/>
  <c r="I32" i="14"/>
  <c r="I30" i="14"/>
  <c r="I28" i="14"/>
  <c r="I26" i="14"/>
  <c r="I13" i="14"/>
  <c r="I39" i="14" s="1"/>
  <c r="E78" i="15" s="1"/>
  <c r="I9" i="14"/>
  <c r="F18" i="14"/>
  <c r="I40" i="14" s="1"/>
  <c r="E79" i="15" s="1"/>
  <c r="F45" i="1" s="1"/>
  <c r="I41" i="14"/>
  <c r="E80" i="15" s="1"/>
  <c r="F46" i="1" s="1"/>
  <c r="Q41" i="2" l="1"/>
  <c r="T41" i="2" s="1"/>
  <c r="F44" i="1"/>
  <c r="C14" i="7"/>
  <c r="B6" i="16" s="1"/>
  <c r="J44" i="1" l="1"/>
  <c r="C80" i="2" s="1"/>
  <c r="O80" i="2" s="1"/>
  <c r="H44" i="1"/>
  <c r="B6" i="4"/>
  <c r="B6" i="19"/>
  <c r="B6" i="15"/>
  <c r="D17" i="11"/>
  <c r="B63" i="15"/>
  <c r="C63" i="15"/>
  <c r="B64" i="15"/>
  <c r="C64" i="15"/>
  <c r="B65" i="15"/>
  <c r="C65" i="15"/>
  <c r="B66" i="15"/>
  <c r="C66" i="15"/>
  <c r="B67" i="20"/>
  <c r="B66" i="20"/>
  <c r="J27" i="20"/>
  <c r="J26" i="20"/>
  <c r="J22" i="20"/>
  <c r="J23" i="20" s="1"/>
  <c r="H17" i="20"/>
  <c r="J17" i="20" s="1"/>
  <c r="B27" i="4"/>
  <c r="B45" i="28" s="1"/>
  <c r="B26" i="4"/>
  <c r="B44" i="28" s="1"/>
  <c r="B37" i="16"/>
  <c r="B36" i="16"/>
  <c r="B24" i="15"/>
  <c r="C24" i="15"/>
  <c r="B85" i="15"/>
  <c r="B84" i="15"/>
  <c r="B53" i="1"/>
  <c r="B52" i="1"/>
  <c r="G28" i="16"/>
  <c r="B18" i="4"/>
  <c r="B20" i="39" s="1"/>
  <c r="B17" i="4"/>
  <c r="B19" i="39" s="1"/>
  <c r="B16" i="4"/>
  <c r="B18" i="39" s="1"/>
  <c r="B15" i="4"/>
  <c r="B17" i="39" s="1"/>
  <c r="B14" i="4"/>
  <c r="B16" i="39" s="1"/>
  <c r="B26" i="15"/>
  <c r="C26" i="15"/>
  <c r="B27" i="15"/>
  <c r="C27" i="15"/>
  <c r="D11" i="14"/>
  <c r="I11" i="14" s="1"/>
  <c r="C29" i="15"/>
  <c r="B29" i="15"/>
  <c r="F10" i="1"/>
  <c r="B47" i="14"/>
  <c r="B46" i="14"/>
  <c r="A11" i="2"/>
  <c r="A78" i="2"/>
  <c r="A74" i="2"/>
  <c r="A61" i="2"/>
  <c r="A56" i="2"/>
  <c r="A55" i="2"/>
  <c r="A52" i="2"/>
  <c r="A44" i="2"/>
  <c r="A33" i="2"/>
  <c r="A27" i="2"/>
  <c r="A25" i="2"/>
  <c r="B55" i="15"/>
  <c r="B23" i="15"/>
  <c r="C23" i="15"/>
  <c r="B24" i="12"/>
  <c r="B23" i="12"/>
  <c r="B20" i="10"/>
  <c r="B19" i="10"/>
  <c r="B18" i="8"/>
  <c r="B17" i="8"/>
  <c r="F11" i="1"/>
  <c r="B11" i="15"/>
  <c r="C11" i="15"/>
  <c r="C10" i="15"/>
  <c r="B10" i="15"/>
  <c r="B5" i="15"/>
  <c r="B4" i="15"/>
  <c r="B3" i="15"/>
  <c r="C1" i="15"/>
  <c r="C71" i="15"/>
  <c r="B71" i="15"/>
  <c r="B62" i="15"/>
  <c r="C62" i="15"/>
  <c r="B58" i="15"/>
  <c r="C58" i="15"/>
  <c r="B59" i="15"/>
  <c r="C59" i="15"/>
  <c r="B61" i="15"/>
  <c r="C61" i="15"/>
  <c r="C57" i="15"/>
  <c r="B57" i="15"/>
  <c r="C53" i="15"/>
  <c r="C55" i="15"/>
  <c r="C52" i="15"/>
  <c r="B53" i="15"/>
  <c r="B52" i="15"/>
  <c r="C49" i="15"/>
  <c r="B49" i="15"/>
  <c r="C21" i="15"/>
  <c r="B21" i="15"/>
  <c r="B56" i="11"/>
  <c r="B55" i="11"/>
  <c r="B5" i="1"/>
  <c r="B4" i="1"/>
  <c r="B3" i="1"/>
  <c r="D1" i="1"/>
  <c r="I4" i="8"/>
  <c r="F6" i="8"/>
  <c r="B5" i="8"/>
  <c r="B4" i="8"/>
  <c r="B3" i="8"/>
  <c r="C1" i="8"/>
  <c r="B10" i="4"/>
  <c r="M80" i="2" l="1"/>
  <c r="K80" i="2"/>
  <c r="B12" i="39"/>
  <c r="B10" i="16"/>
  <c r="D36" i="11"/>
  <c r="D29" i="11"/>
  <c r="L29" i="11" s="1"/>
  <c r="L23" i="11" s="1"/>
  <c r="E25" i="15" s="1"/>
  <c r="L17" i="11"/>
  <c r="K12" i="11" s="1"/>
  <c r="E24" i="15" s="1"/>
  <c r="B10" i="28"/>
  <c r="B28" i="28"/>
  <c r="B22" i="16"/>
  <c r="B55" i="2"/>
  <c r="B26" i="28"/>
  <c r="B21" i="16"/>
  <c r="B19" i="16"/>
  <c r="B24" i="28"/>
  <c r="B25" i="2"/>
  <c r="B16" i="28"/>
  <c r="B15" i="16"/>
  <c r="B18" i="16"/>
  <c r="B22" i="28"/>
  <c r="B24" i="2"/>
  <c r="B14" i="28"/>
  <c r="B14" i="16"/>
  <c r="B33" i="2"/>
  <c r="B20" i="28"/>
  <c r="B17" i="16"/>
  <c r="B32" i="28"/>
  <c r="B24" i="16"/>
  <c r="B30" i="28"/>
  <c r="B23" i="16"/>
  <c r="A24" i="2"/>
  <c r="A14" i="28"/>
  <c r="A14" i="16"/>
  <c r="B18" i="28"/>
  <c r="B16" i="16"/>
  <c r="B78" i="2"/>
  <c r="B34" i="28"/>
  <c r="B25" i="16"/>
  <c r="E33" i="15"/>
  <c r="C20" i="12"/>
  <c r="K53" i="11" s="1"/>
  <c r="E49" i="15" s="1"/>
  <c r="C20" i="2"/>
  <c r="C21" i="2"/>
  <c r="C22" i="2"/>
  <c r="C39" i="2"/>
  <c r="C36" i="2"/>
  <c r="C50" i="2"/>
  <c r="J46" i="1"/>
  <c r="C82" i="2" s="1"/>
  <c r="J11" i="1"/>
  <c r="C13" i="2" s="1"/>
  <c r="C15" i="2"/>
  <c r="J10" i="1"/>
  <c r="C14" i="8"/>
  <c r="B7" i="20" s="1"/>
  <c r="E16" i="15"/>
  <c r="H10" i="1"/>
  <c r="H46" i="1"/>
  <c r="H11" i="1"/>
  <c r="I38" i="14"/>
  <c r="E77" i="15" s="1"/>
  <c r="I15" i="14"/>
  <c r="B11" i="2"/>
  <c r="B44" i="2"/>
  <c r="B27" i="2"/>
  <c r="B56" i="2"/>
  <c r="J19" i="20"/>
  <c r="J28" i="20"/>
  <c r="B52" i="2"/>
  <c r="B74" i="2"/>
  <c r="B61" i="2"/>
  <c r="Q80" i="2" l="1"/>
  <c r="T80" i="2" s="1"/>
  <c r="J12" i="1"/>
  <c r="C38" i="2"/>
  <c r="C30" i="2"/>
  <c r="C16" i="2"/>
  <c r="E16" i="2" s="1"/>
  <c r="Q16" i="2" s="1"/>
  <c r="T16" i="2" s="1"/>
  <c r="C12" i="2"/>
  <c r="E12" i="2" s="1"/>
  <c r="Q12" i="2" s="1"/>
  <c r="T12" i="2" s="1"/>
  <c r="F43" i="1"/>
  <c r="J43" i="1" s="1"/>
  <c r="O82" i="2"/>
  <c r="M82" i="2"/>
  <c r="K82" i="2"/>
  <c r="E13" i="2"/>
  <c r="Q13" i="2" s="1"/>
  <c r="T13" i="2" s="1"/>
  <c r="K22" i="2"/>
  <c r="E22" i="2"/>
  <c r="I22" i="2"/>
  <c r="M22" i="2"/>
  <c r="O22" i="2"/>
  <c r="G22" i="2"/>
  <c r="O21" i="2"/>
  <c r="K21" i="2"/>
  <c r="E21" i="2"/>
  <c r="M21" i="2"/>
  <c r="I21" i="2"/>
  <c r="G21" i="2"/>
  <c r="K20" i="2"/>
  <c r="I20" i="2"/>
  <c r="M20" i="2"/>
  <c r="O20" i="2"/>
  <c r="E20" i="2"/>
  <c r="G20" i="2"/>
  <c r="M39" i="2"/>
  <c r="E39" i="2"/>
  <c r="K39" i="2"/>
  <c r="I39" i="2"/>
  <c r="G39" i="2"/>
  <c r="E50" i="2"/>
  <c r="G50" i="2"/>
  <c r="M50" i="2"/>
  <c r="I50" i="2"/>
  <c r="K50" i="2"/>
  <c r="K36" i="2"/>
  <c r="E36" i="2"/>
  <c r="M36" i="2"/>
  <c r="I36" i="2"/>
  <c r="G36" i="2"/>
  <c r="E15" i="2"/>
  <c r="Q15" i="2" s="1"/>
  <c r="T15" i="2" s="1"/>
  <c r="E38" i="15"/>
  <c r="D48" i="11"/>
  <c r="L36" i="11"/>
  <c r="K30" i="11" s="1"/>
  <c r="E26" i="15" s="1"/>
  <c r="J45" i="1"/>
  <c r="C81" i="2" s="1"/>
  <c r="C47" i="2"/>
  <c r="C37" i="2"/>
  <c r="C15" i="10"/>
  <c r="C12" i="37" s="1"/>
  <c r="J31" i="20"/>
  <c r="J32" i="20" s="1"/>
  <c r="J33" i="20" s="1"/>
  <c r="H45" i="1"/>
  <c r="E21" i="15"/>
  <c r="C14" i="37" l="1"/>
  <c r="E12" i="37"/>
  <c r="E34" i="14"/>
  <c r="H43" i="1"/>
  <c r="C14" i="2"/>
  <c r="E14" i="2" s="1"/>
  <c r="Q14" i="2" s="1"/>
  <c r="T14" i="2" s="1"/>
  <c r="C79" i="2"/>
  <c r="O79" i="2" s="1"/>
  <c r="C51" i="2"/>
  <c r="M51" i="2" s="1"/>
  <c r="Q82" i="2"/>
  <c r="T82" i="2" s="1"/>
  <c r="K81" i="2"/>
  <c r="M81" i="2"/>
  <c r="O81" i="2"/>
  <c r="Q22" i="2"/>
  <c r="T22" i="2" s="1"/>
  <c r="Q21" i="2"/>
  <c r="T21" i="2" s="1"/>
  <c r="Q20" i="2"/>
  <c r="T20" i="2" s="1"/>
  <c r="M47" i="2"/>
  <c r="K47" i="2"/>
  <c r="I47" i="2"/>
  <c r="G47" i="2"/>
  <c r="E47" i="2"/>
  <c r="Q36" i="2"/>
  <c r="T36" i="2" s="1"/>
  <c r="G38" i="2"/>
  <c r="M38" i="2"/>
  <c r="K38" i="2"/>
  <c r="E38" i="2"/>
  <c r="I38" i="2"/>
  <c r="I30" i="2"/>
  <c r="G30" i="2"/>
  <c r="E30" i="2"/>
  <c r="Q50" i="2"/>
  <c r="T50" i="2" s="1"/>
  <c r="Q39" i="2"/>
  <c r="T39" i="2" s="1"/>
  <c r="C34" i="2"/>
  <c r="I37" i="2"/>
  <c r="K37" i="2"/>
  <c r="M37" i="2"/>
  <c r="G37" i="2"/>
  <c r="E37" i="2"/>
  <c r="G48" i="11"/>
  <c r="K48" i="11"/>
  <c r="E23" i="15"/>
  <c r="E63" i="15"/>
  <c r="B6" i="1"/>
  <c r="E65" i="15"/>
  <c r="F32" i="1" s="1"/>
  <c r="E64" i="15"/>
  <c r="F31" i="1" s="1"/>
  <c r="C45" i="2"/>
  <c r="C49" i="2"/>
  <c r="E57" i="15"/>
  <c r="F19" i="1" s="1"/>
  <c r="E52" i="15"/>
  <c r="F14" i="24" s="1"/>
  <c r="H14" i="24" s="1"/>
  <c r="H17" i="24" s="1"/>
  <c r="G14" i="1" s="1"/>
  <c r="B6" i="8"/>
  <c r="K12" i="37" l="1"/>
  <c r="E14" i="37"/>
  <c r="I14" i="1"/>
  <c r="J14" i="1" s="1"/>
  <c r="H14" i="1"/>
  <c r="C28" i="2"/>
  <c r="C26" i="2"/>
  <c r="G26" i="2" s="1"/>
  <c r="B6" i="39"/>
  <c r="B6" i="29"/>
  <c r="B6" i="14"/>
  <c r="B6" i="37"/>
  <c r="B6" i="35"/>
  <c r="B6" i="10"/>
  <c r="B6" i="31"/>
  <c r="B6" i="30"/>
  <c r="G51" i="2"/>
  <c r="K51" i="2"/>
  <c r="K79" i="2"/>
  <c r="M79" i="2"/>
  <c r="I51" i="2"/>
  <c r="E51" i="2"/>
  <c r="Q81" i="2"/>
  <c r="T81" i="2" s="1"/>
  <c r="Q47" i="2"/>
  <c r="T47" i="2" s="1"/>
  <c r="C53" i="2"/>
  <c r="G34" i="2"/>
  <c r="I34" i="2"/>
  <c r="K34" i="2"/>
  <c r="E34" i="2"/>
  <c r="M34" i="2"/>
  <c r="Q37" i="2"/>
  <c r="T37" i="2" s="1"/>
  <c r="M49" i="2"/>
  <c r="I49" i="2"/>
  <c r="G49" i="2"/>
  <c r="K49" i="2"/>
  <c r="E49" i="2"/>
  <c r="I45" i="2"/>
  <c r="E45" i="2"/>
  <c r="G45" i="2"/>
  <c r="M45" i="2"/>
  <c r="K45" i="2"/>
  <c r="Q30" i="2"/>
  <c r="T30" i="2" s="1"/>
  <c r="Q38" i="2"/>
  <c r="T38" i="2" s="1"/>
  <c r="B6" i="2"/>
  <c r="B6" i="24"/>
  <c r="B6" i="33"/>
  <c r="B6" i="11"/>
  <c r="B6" i="12"/>
  <c r="L48" i="11"/>
  <c r="K42" i="11" s="1"/>
  <c r="E27" i="15" s="1"/>
  <c r="F20" i="1"/>
  <c r="E71" i="15"/>
  <c r="C29" i="2"/>
  <c r="J32" i="1"/>
  <c r="C69" i="2" s="1"/>
  <c r="H32" i="1"/>
  <c r="H31" i="1"/>
  <c r="J31" i="1"/>
  <c r="C68" i="2" s="1"/>
  <c r="F24" i="1"/>
  <c r="F28" i="1"/>
  <c r="J28" i="1" s="1"/>
  <c r="B6" i="7"/>
  <c r="F29" i="1"/>
  <c r="J29" i="1" s="1"/>
  <c r="F30" i="1"/>
  <c r="C19" i="2" l="1"/>
  <c r="J15" i="1"/>
  <c r="E12" i="4" s="1"/>
  <c r="M12" i="37"/>
  <c r="M14" i="37" s="1"/>
  <c r="E82" i="15" s="1"/>
  <c r="F48" i="1" s="1"/>
  <c r="K14" i="37"/>
  <c r="C43" i="2"/>
  <c r="E26" i="2"/>
  <c r="C57" i="2"/>
  <c r="E57" i="2" s="1"/>
  <c r="B6" i="38"/>
  <c r="B6" i="36"/>
  <c r="F19" i="16"/>
  <c r="Q51" i="2"/>
  <c r="T51" i="2" s="1"/>
  <c r="Q79" i="2"/>
  <c r="T79" i="2" s="1"/>
  <c r="B6" i="34"/>
  <c r="D24" i="28"/>
  <c r="Q49" i="2"/>
  <c r="T49" i="2" s="1"/>
  <c r="Q26" i="2"/>
  <c r="T26" i="2" s="1"/>
  <c r="I29" i="2"/>
  <c r="G29" i="2"/>
  <c r="E29" i="2"/>
  <c r="Q34" i="2"/>
  <c r="T34" i="2" s="1"/>
  <c r="E53" i="2"/>
  <c r="Q53" i="2" s="1"/>
  <c r="T53" i="2" s="1"/>
  <c r="G28" i="2"/>
  <c r="I28" i="2"/>
  <c r="E28" i="2"/>
  <c r="Q45" i="2"/>
  <c r="T45" i="2" s="1"/>
  <c r="M69" i="2"/>
  <c r="I69" i="2"/>
  <c r="E69" i="2"/>
  <c r="G69" i="2"/>
  <c r="O69" i="2"/>
  <c r="K69" i="2"/>
  <c r="K68" i="2"/>
  <c r="M68" i="2"/>
  <c r="I68" i="2"/>
  <c r="G68" i="2"/>
  <c r="E68" i="2"/>
  <c r="O68" i="2"/>
  <c r="B6" i="32"/>
  <c r="F21" i="1"/>
  <c r="H20" i="1"/>
  <c r="J20" i="1"/>
  <c r="C59" i="2" s="1"/>
  <c r="I34" i="14"/>
  <c r="I24" i="14"/>
  <c r="F39" i="1"/>
  <c r="C65" i="2"/>
  <c r="H28" i="1"/>
  <c r="C31" i="2"/>
  <c r="H29" i="1"/>
  <c r="C66" i="2"/>
  <c r="H24" i="1"/>
  <c r="J24" i="1"/>
  <c r="H30" i="1"/>
  <c r="J30" i="1"/>
  <c r="C67" i="2" s="1"/>
  <c r="C14" i="39" l="1"/>
  <c r="D12" i="28"/>
  <c r="F12" i="16"/>
  <c r="H48" i="1"/>
  <c r="J48" i="1"/>
  <c r="K19" i="2"/>
  <c r="M19" i="2"/>
  <c r="O19" i="2"/>
  <c r="E19" i="2"/>
  <c r="I19" i="2"/>
  <c r="G19" i="2"/>
  <c r="F17" i="16"/>
  <c r="D20" i="28"/>
  <c r="M43" i="2"/>
  <c r="E43" i="2"/>
  <c r="I43" i="2"/>
  <c r="G43" i="2"/>
  <c r="K43" i="2"/>
  <c r="I57" i="2"/>
  <c r="G57" i="2"/>
  <c r="C75" i="2"/>
  <c r="K75" i="2" s="1"/>
  <c r="C62" i="2"/>
  <c r="O62" i="2" s="1"/>
  <c r="E31" i="2"/>
  <c r="G31" i="2"/>
  <c r="I31" i="2"/>
  <c r="Q29" i="2"/>
  <c r="T29" i="2" s="1"/>
  <c r="Q28" i="2"/>
  <c r="T28" i="2" s="1"/>
  <c r="Q69" i="2"/>
  <c r="T69" i="2" s="1"/>
  <c r="O65" i="2"/>
  <c r="I65" i="2"/>
  <c r="E65" i="2"/>
  <c r="G65" i="2"/>
  <c r="K65" i="2"/>
  <c r="M65" i="2"/>
  <c r="O67" i="2"/>
  <c r="I67" i="2"/>
  <c r="K67" i="2"/>
  <c r="E67" i="2"/>
  <c r="G67" i="2"/>
  <c r="M67" i="2"/>
  <c r="K66" i="2"/>
  <c r="G66" i="2"/>
  <c r="M66" i="2"/>
  <c r="I66" i="2"/>
  <c r="O66" i="2"/>
  <c r="E66" i="2"/>
  <c r="Q68" i="2"/>
  <c r="T68" i="2" s="1"/>
  <c r="I59" i="2"/>
  <c r="E59" i="2"/>
  <c r="G59" i="2"/>
  <c r="I35" i="14"/>
  <c r="I42" i="14" s="1"/>
  <c r="E81" i="15" s="1"/>
  <c r="F47" i="1" s="1"/>
  <c r="D16" i="28"/>
  <c r="F15" i="16"/>
  <c r="J39" i="1"/>
  <c r="J41" i="1" s="1"/>
  <c r="H39" i="1"/>
  <c r="J19" i="1"/>
  <c r="H19" i="1"/>
  <c r="H21" i="1"/>
  <c r="J21" i="1"/>
  <c r="C60" i="2" s="1"/>
  <c r="F25" i="1"/>
  <c r="F26" i="1"/>
  <c r="Q19" i="2" l="1"/>
  <c r="T19" i="2" s="1"/>
  <c r="O14" i="39"/>
  <c r="E14" i="39"/>
  <c r="M14" i="39"/>
  <c r="G14" i="39"/>
  <c r="I14" i="39"/>
  <c r="K14" i="39"/>
  <c r="Q57" i="2"/>
  <c r="T57" i="2" s="1"/>
  <c r="Q43" i="2"/>
  <c r="T43" i="2" s="1"/>
  <c r="C58" i="2"/>
  <c r="G58" i="2" s="1"/>
  <c r="M75" i="2"/>
  <c r="G62" i="2"/>
  <c r="O75" i="2"/>
  <c r="I75" i="2"/>
  <c r="E62" i="2"/>
  <c r="K62" i="2"/>
  <c r="M62" i="2"/>
  <c r="I62" i="2"/>
  <c r="Q31" i="2"/>
  <c r="T31" i="2" s="1"/>
  <c r="Q59" i="2"/>
  <c r="T59" i="2" s="1"/>
  <c r="I60" i="2"/>
  <c r="G60" i="2"/>
  <c r="E60" i="2"/>
  <c r="Q65" i="2"/>
  <c r="T65" i="2" s="1"/>
  <c r="Q66" i="2"/>
  <c r="T66" i="2" s="1"/>
  <c r="Q67" i="2"/>
  <c r="T67" i="2" s="1"/>
  <c r="E17" i="4"/>
  <c r="C19" i="39" s="1"/>
  <c r="C76" i="2"/>
  <c r="J22" i="1"/>
  <c r="J47" i="1"/>
  <c r="J49" i="1" s="1"/>
  <c r="H47" i="1"/>
  <c r="J33" i="1"/>
  <c r="C72" i="2" s="1"/>
  <c r="H25" i="1"/>
  <c r="J25" i="1"/>
  <c r="J26" i="1"/>
  <c r="H26" i="1"/>
  <c r="J35" i="1"/>
  <c r="H35" i="1"/>
  <c r="Q14" i="39" l="1"/>
  <c r="T14" i="39" s="1"/>
  <c r="C73" i="2"/>
  <c r="E73" i="2" s="1"/>
  <c r="J37" i="1"/>
  <c r="J50" i="1" s="1"/>
  <c r="E58" i="2"/>
  <c r="I58" i="2"/>
  <c r="K19" i="39"/>
  <c r="I19" i="39"/>
  <c r="G19" i="39"/>
  <c r="O19" i="39"/>
  <c r="M19" i="39"/>
  <c r="E19" i="39"/>
  <c r="C64" i="2"/>
  <c r="K64" i="2" s="1"/>
  <c r="Q75" i="2"/>
  <c r="T75" i="2" s="1"/>
  <c r="Q62" i="2"/>
  <c r="T62" i="2" s="1"/>
  <c r="C63" i="2"/>
  <c r="M63" i="2" s="1"/>
  <c r="Q60" i="2"/>
  <c r="T60" i="2" s="1"/>
  <c r="E18" i="4"/>
  <c r="C20" i="39" s="1"/>
  <c r="C83" i="2"/>
  <c r="O76" i="2"/>
  <c r="M76" i="2"/>
  <c r="I76" i="2"/>
  <c r="K76" i="2"/>
  <c r="M72" i="2"/>
  <c r="G72" i="2"/>
  <c r="O72" i="2"/>
  <c r="E72" i="2"/>
  <c r="I72" i="2"/>
  <c r="K72" i="2"/>
  <c r="F24" i="16"/>
  <c r="D32" i="28"/>
  <c r="E15" i="4"/>
  <c r="C17" i="39" s="1"/>
  <c r="K17" i="39" s="1"/>
  <c r="H33" i="1"/>
  <c r="M73" i="2" l="1"/>
  <c r="O73" i="2"/>
  <c r="G73" i="2"/>
  <c r="K73" i="2"/>
  <c r="I73" i="2"/>
  <c r="Q58" i="2"/>
  <c r="T58" i="2" s="1"/>
  <c r="C32" i="2"/>
  <c r="G32" i="2" s="1"/>
  <c r="Q19" i="39"/>
  <c r="T19" i="39" s="1"/>
  <c r="O17" i="39"/>
  <c r="M17" i="39"/>
  <c r="I17" i="39"/>
  <c r="G17" i="39"/>
  <c r="E17" i="39"/>
  <c r="O20" i="39"/>
  <c r="M20" i="39"/>
  <c r="K20" i="39"/>
  <c r="E20" i="39"/>
  <c r="I20" i="39"/>
  <c r="G20" i="39"/>
  <c r="I64" i="2"/>
  <c r="E64" i="2"/>
  <c r="O64" i="2"/>
  <c r="G64" i="2"/>
  <c r="M64" i="2"/>
  <c r="G63" i="2"/>
  <c r="O63" i="2"/>
  <c r="I63" i="2"/>
  <c r="E63" i="2"/>
  <c r="K63" i="2"/>
  <c r="Q72" i="2"/>
  <c r="T72" i="2" s="1"/>
  <c r="O83" i="2"/>
  <c r="M83" i="2"/>
  <c r="K83" i="2"/>
  <c r="Q76" i="2"/>
  <c r="T76" i="2" s="1"/>
  <c r="D34" i="28"/>
  <c r="F25" i="16"/>
  <c r="F22" i="16"/>
  <c r="D28" i="28"/>
  <c r="E16" i="4"/>
  <c r="C18" i="39" s="1"/>
  <c r="Q73" i="2" l="1"/>
  <c r="T73" i="2" s="1"/>
  <c r="I32" i="2"/>
  <c r="E32" i="2"/>
  <c r="Q17" i="39"/>
  <c r="T17" i="39" s="1"/>
  <c r="Q20" i="39"/>
  <c r="T20" i="39" s="1"/>
  <c r="G18" i="39"/>
  <c r="E18" i="39"/>
  <c r="O18" i="39"/>
  <c r="M18" i="39"/>
  <c r="K18" i="39"/>
  <c r="I18" i="39"/>
  <c r="Q64" i="2"/>
  <c r="T64" i="2" s="1"/>
  <c r="Q63" i="2"/>
  <c r="T63" i="2" s="1"/>
  <c r="Q83" i="2"/>
  <c r="T83" i="2" s="1"/>
  <c r="F23" i="16"/>
  <c r="D30" i="28"/>
  <c r="Q32" i="2" l="1"/>
  <c r="T32" i="2" s="1"/>
  <c r="Q18" i="39"/>
  <c r="T18" i="39" s="1"/>
  <c r="O85" i="2"/>
  <c r="F16" i="16"/>
  <c r="D18" i="28"/>
  <c r="C48" i="2" l="1"/>
  <c r="G22" i="39" l="1"/>
  <c r="E48" i="2"/>
  <c r="G48" i="2"/>
  <c r="I48" i="2"/>
  <c r="K48" i="2"/>
  <c r="M48" i="2"/>
  <c r="F18" i="16"/>
  <c r="D22" i="28"/>
  <c r="I22" i="39" l="1"/>
  <c r="M22" i="39"/>
  <c r="O22" i="39"/>
  <c r="K22" i="39"/>
  <c r="Q48" i="2"/>
  <c r="T48" i="2" s="1"/>
  <c r="M85" i="2"/>
  <c r="G85" i="2"/>
  <c r="I85" i="2"/>
  <c r="K85" i="2"/>
  <c r="C85" i="2"/>
  <c r="D77" i="2" s="1"/>
  <c r="L14" i="14" l="1"/>
  <c r="S19" i="12"/>
  <c r="D79" i="2"/>
  <c r="D80" i="2"/>
  <c r="D81" i="2"/>
  <c r="D82" i="2"/>
  <c r="D83" i="2"/>
  <c r="D75" i="2"/>
  <c r="D76" i="2"/>
  <c r="D62" i="2"/>
  <c r="D64" i="2"/>
  <c r="D66" i="2"/>
  <c r="D67" i="2"/>
  <c r="D68" i="2"/>
  <c r="D69" i="2"/>
  <c r="D70" i="2"/>
  <c r="D72" i="2"/>
  <c r="D63" i="2"/>
  <c r="D73" i="2"/>
  <c r="D65" i="2"/>
  <c r="D71" i="2"/>
  <c r="D53" i="2"/>
  <c r="D57" i="2"/>
  <c r="D58" i="2"/>
  <c r="D59" i="2"/>
  <c r="D60" i="2"/>
  <c r="D45" i="2"/>
  <c r="D46" i="2"/>
  <c r="D47" i="2"/>
  <c r="D48" i="2"/>
  <c r="D49" i="2"/>
  <c r="D51" i="2"/>
  <c r="D50" i="2"/>
  <c r="D36" i="2"/>
  <c r="D40" i="2"/>
  <c r="D37" i="2"/>
  <c r="D41" i="2"/>
  <c r="D34" i="2"/>
  <c r="D38" i="2"/>
  <c r="D42" i="2"/>
  <c r="D43" i="2"/>
  <c r="D39" i="2"/>
  <c r="D35" i="2"/>
  <c r="D29" i="2"/>
  <c r="D30" i="2"/>
  <c r="D31" i="2"/>
  <c r="D28" i="2"/>
  <c r="D32" i="2"/>
  <c r="D26" i="2"/>
  <c r="D22" i="2"/>
  <c r="D14" i="2"/>
  <c r="D19" i="2"/>
  <c r="D12" i="2"/>
  <c r="D16" i="2"/>
  <c r="D15" i="2"/>
  <c r="D21" i="2"/>
  <c r="D20" i="2"/>
  <c r="D13" i="2"/>
  <c r="L85" i="2"/>
  <c r="N85" i="2"/>
  <c r="P85" i="2"/>
  <c r="H85" i="2"/>
  <c r="E85" i="2"/>
  <c r="J85" i="2"/>
  <c r="Q85" i="2" l="1"/>
  <c r="R85" i="2" s="1"/>
  <c r="E86" i="2"/>
  <c r="F85" i="2"/>
  <c r="F86" i="2" l="1"/>
  <c r="H86" i="2" s="1"/>
  <c r="J86" i="2" s="1"/>
  <c r="L86" i="2" s="1"/>
  <c r="N86" i="2" s="1"/>
  <c r="P86" i="2" s="1"/>
  <c r="G86" i="2"/>
  <c r="I86" i="2" s="1"/>
  <c r="K86" i="2" s="1"/>
  <c r="M86" i="2" s="1"/>
  <c r="O86" i="2" s="1"/>
  <c r="D85" i="2" l="1"/>
  <c r="E10" i="4"/>
  <c r="C12" i="39" s="1"/>
  <c r="N53" i="1" l="1"/>
  <c r="J53" i="1"/>
  <c r="C22" i="39"/>
  <c r="E12" i="39"/>
  <c r="E20" i="4"/>
  <c r="F10" i="4" s="1"/>
  <c r="D10" i="28"/>
  <c r="M61" i="1"/>
  <c r="I21" i="7" s="1"/>
  <c r="K10" i="1"/>
  <c r="K14" i="1"/>
  <c r="K12" i="24" s="1"/>
  <c r="K17" i="1"/>
  <c r="F10" i="16"/>
  <c r="M8" i="24" l="1"/>
  <c r="D38" i="28"/>
  <c r="C10" i="28" s="1"/>
  <c r="L22" i="39"/>
  <c r="N22" i="39"/>
  <c r="I28" i="39"/>
  <c r="K28" i="39"/>
  <c r="P22" i="39"/>
  <c r="J22" i="39"/>
  <c r="G28" i="39"/>
  <c r="H22" i="39"/>
  <c r="M28" i="39"/>
  <c r="F28" i="16"/>
  <c r="I10" i="16" s="1"/>
  <c r="D12" i="39"/>
  <c r="F18" i="4"/>
  <c r="D20" i="39" s="1"/>
  <c r="F12" i="4"/>
  <c r="F15" i="4"/>
  <c r="D17" i="39" s="1"/>
  <c r="F16" i="4"/>
  <c r="D18" i="39" s="1"/>
  <c r="F17" i="4"/>
  <c r="D19" i="39" s="1"/>
  <c r="K50" i="1"/>
  <c r="Q12" i="39"/>
  <c r="Q22" i="39" s="1"/>
  <c r="R22" i="39" s="1"/>
  <c r="E22" i="39"/>
  <c r="D14" i="39" l="1"/>
  <c r="D22" i="39" s="1"/>
  <c r="G14" i="15"/>
  <c r="I11" i="16"/>
  <c r="K9" i="16" s="1"/>
  <c r="F22" i="39"/>
  <c r="E28" i="39"/>
  <c r="E23" i="39"/>
  <c r="C16" i="28"/>
  <c r="C18" i="28"/>
  <c r="C28" i="28"/>
  <c r="I56" i="28"/>
  <c r="C26" i="28"/>
  <c r="C14" i="28"/>
  <c r="C20" i="28"/>
  <c r="C24" i="28"/>
  <c r="C12" i="28"/>
  <c r="C34" i="28"/>
  <c r="C22" i="28"/>
  <c r="C30" i="28"/>
  <c r="C32" i="28"/>
  <c r="F20" i="4"/>
  <c r="K10" i="16" l="1"/>
  <c r="E16" i="16" s="1"/>
  <c r="D16" i="16" s="1"/>
  <c r="C38" i="28"/>
  <c r="G56" i="28"/>
  <c r="H57" i="28"/>
  <c r="F23" i="39"/>
  <c r="H23" i="39" s="1"/>
  <c r="J23" i="39" s="1"/>
  <c r="L23" i="39" s="1"/>
  <c r="N23" i="39" s="1"/>
  <c r="P23" i="39" s="1"/>
  <c r="G23" i="39"/>
  <c r="I23" i="39" s="1"/>
  <c r="K23" i="39" s="1"/>
  <c r="M23" i="39" s="1"/>
  <c r="O23" i="39" s="1"/>
  <c r="E24" i="16" l="1"/>
  <c r="D24" i="16" s="1"/>
  <c r="E12" i="16"/>
  <c r="D12" i="16" s="1"/>
  <c r="E19" i="16"/>
  <c r="D19" i="16" s="1"/>
  <c r="E22" i="16"/>
  <c r="D22" i="16" s="1"/>
  <c r="E10" i="16"/>
  <c r="D10" i="16" s="1"/>
  <c r="E25" i="16"/>
  <c r="D25" i="16" s="1"/>
  <c r="E18" i="16"/>
  <c r="D18" i="16" s="1"/>
  <c r="E23" i="16"/>
  <c r="D23" i="16" s="1"/>
  <c r="E17" i="16"/>
  <c r="D17" i="16" s="1"/>
  <c r="E15" i="16"/>
  <c r="D15" i="16" s="1"/>
  <c r="O21" i="28"/>
  <c r="M25" i="28"/>
  <c r="M33" i="28"/>
  <c r="M19" i="28"/>
  <c r="K33" i="28"/>
  <c r="O33" i="28"/>
  <c r="K21" i="28"/>
  <c r="I29" i="28"/>
  <c r="I13" i="28"/>
  <c r="G19" i="28"/>
  <c r="M31" i="28"/>
  <c r="G35" i="28"/>
  <c r="M35" i="28"/>
  <c r="O35" i="28"/>
  <c r="G21" i="28"/>
  <c r="I19" i="28"/>
  <c r="I25" i="28"/>
  <c r="G33" i="28"/>
  <c r="O25" i="28"/>
  <c r="K17" i="28"/>
  <c r="M29" i="28"/>
  <c r="M23" i="28"/>
  <c r="I21" i="28"/>
  <c r="G31" i="28"/>
  <c r="O17" i="28"/>
  <c r="O13" i="28"/>
  <c r="O29" i="28"/>
  <c r="K19" i="28"/>
  <c r="O23" i="28"/>
  <c r="K23" i="28"/>
  <c r="G29" i="28"/>
  <c r="G23" i="28"/>
  <c r="G17" i="28"/>
  <c r="K31" i="28"/>
  <c r="M17" i="28"/>
  <c r="K25" i="28"/>
  <c r="I35" i="28"/>
  <c r="G57" i="28"/>
  <c r="O19" i="28"/>
  <c r="K35" i="28"/>
  <c r="G25" i="28"/>
  <c r="I17" i="28"/>
  <c r="I31" i="28"/>
  <c r="O31" i="28"/>
  <c r="K29" i="28"/>
  <c r="G13" i="28"/>
  <c r="I33" i="28"/>
  <c r="K13" i="28"/>
  <c r="M13" i="28"/>
  <c r="I23" i="28"/>
  <c r="M21" i="28"/>
  <c r="O11" i="28"/>
  <c r="M11" i="28"/>
  <c r="G11" i="28"/>
  <c r="K11" i="28"/>
  <c r="I11" i="28"/>
  <c r="E28" i="16" l="1"/>
  <c r="D28" i="16"/>
  <c r="N23" i="28"/>
  <c r="H17" i="28"/>
  <c r="J31" i="28"/>
  <c r="N13" i="28"/>
  <c r="L21" i="28"/>
  <c r="J25" i="28"/>
  <c r="L19" i="28"/>
  <c r="H25" i="28"/>
  <c r="N31" i="28"/>
  <c r="H35" i="28"/>
  <c r="J35" i="28"/>
  <c r="F29" i="28"/>
  <c r="F23" i="28"/>
  <c r="F33" i="28"/>
  <c r="L35" i="28"/>
  <c r="F21" i="28"/>
  <c r="F31" i="28"/>
  <c r="N21" i="28"/>
  <c r="J13" i="28"/>
  <c r="N19" i="28"/>
  <c r="J23" i="28"/>
  <c r="L25" i="28"/>
  <c r="H13" i="28"/>
  <c r="L23" i="28"/>
  <c r="L33" i="28"/>
  <c r="L31" i="28"/>
  <c r="H29" i="28"/>
  <c r="F19" i="28"/>
  <c r="J33" i="28"/>
  <c r="H21" i="28"/>
  <c r="H31" i="28"/>
  <c r="N29" i="28"/>
  <c r="L13" i="28"/>
  <c r="L29" i="28"/>
  <c r="L17" i="28"/>
  <c r="J19" i="28"/>
  <c r="H23" i="28"/>
  <c r="F35" i="28"/>
  <c r="F25" i="28"/>
  <c r="N25" i="28"/>
  <c r="I57" i="28"/>
  <c r="F17" i="28"/>
  <c r="N35" i="28"/>
  <c r="J21" i="28"/>
  <c r="H33" i="28"/>
  <c r="N33" i="28"/>
  <c r="J17" i="28"/>
  <c r="F13" i="28"/>
  <c r="J29" i="28"/>
  <c r="H19" i="28"/>
  <c r="N17" i="28"/>
  <c r="H11" i="28"/>
  <c r="N11" i="28"/>
  <c r="L11" i="28"/>
  <c r="F11" i="28"/>
  <c r="J11" i="28"/>
  <c r="O38" i="28"/>
  <c r="M38" i="28"/>
  <c r="K38" i="28"/>
  <c r="G38" i="28"/>
  <c r="G39" i="28" s="1"/>
  <c r="I38" i="28"/>
  <c r="P17" i="28" l="1"/>
  <c r="R17" i="28" s="1"/>
  <c r="P31" i="28"/>
  <c r="R31" i="28" s="1"/>
  <c r="I39" i="28"/>
  <c r="K39" i="28" s="1"/>
  <c r="M39" i="28" s="1"/>
  <c r="O39" i="28" s="1"/>
  <c r="P13" i="28"/>
  <c r="R13" i="28" s="1"/>
  <c r="P19" i="28"/>
  <c r="R19" i="28" s="1"/>
  <c r="P21" i="28"/>
  <c r="R21" i="28" s="1"/>
  <c r="P29" i="28"/>
  <c r="R29" i="28" s="1"/>
  <c r="P11" i="28"/>
  <c r="R11" i="28" s="1"/>
  <c r="N38" i="28"/>
  <c r="P25" i="28"/>
  <c r="R25" i="28" s="1"/>
  <c r="L38" i="28"/>
  <c r="J38" i="28"/>
  <c r="F38" i="28"/>
  <c r="P35" i="28"/>
  <c r="P33" i="28"/>
  <c r="R33" i="28" s="1"/>
  <c r="H38" i="28"/>
  <c r="P23" i="28"/>
  <c r="R23" i="28" s="1"/>
  <c r="H40" i="28" l="1"/>
  <c r="L40" i="28"/>
  <c r="P38" i="28"/>
  <c r="R35" i="28"/>
  <c r="F39" i="28"/>
  <c r="H39" i="28" s="1"/>
  <c r="J39" i="28" s="1"/>
  <c r="L39" i="28" s="1"/>
  <c r="N39" i="28" s="1"/>
  <c r="F40" i="28"/>
  <c r="N40" i="28"/>
  <c r="J40" i="28"/>
  <c r="P40" i="28" l="1"/>
</calcChain>
</file>

<file path=xl/sharedStrings.xml><?xml version="1.0" encoding="utf-8"?>
<sst xmlns="http://schemas.openxmlformats.org/spreadsheetml/2006/main" count="1385" uniqueCount="615">
  <si>
    <t>ITEM</t>
  </si>
  <si>
    <t>DESCRIÇÃO DO ITEM</t>
  </si>
  <si>
    <t>UNID</t>
  </si>
  <si>
    <t>QUANT</t>
  </si>
  <si>
    <t>(%)</t>
  </si>
  <si>
    <t>m</t>
  </si>
  <si>
    <t>m²</t>
  </si>
  <si>
    <t>TOTAL DO ITEM</t>
  </si>
  <si>
    <t xml:space="preserve">Obra: </t>
  </si>
  <si>
    <t>CRONOGRAMA FISICO FINANCEIRO</t>
  </si>
  <si>
    <t>DESCRIÇÃO / ETAPA</t>
  </si>
  <si>
    <t>PERIODO</t>
  </si>
  <si>
    <t>À Executar</t>
  </si>
  <si>
    <t>TOTAL</t>
  </si>
  <si>
    <t>Valor(R$)</t>
  </si>
  <si>
    <t>%</t>
  </si>
  <si>
    <t>Valor (R$)</t>
  </si>
  <si>
    <t>Valor Do Mês</t>
  </si>
  <si>
    <t>Valor Acomulado</t>
  </si>
  <si>
    <t>RESUMO SINTÉTICO</t>
  </si>
  <si>
    <t>DESCRIÇÃO DOS SERVIÇOS</t>
  </si>
  <si>
    <t>VALOR ÍTEM</t>
  </si>
  <si>
    <t xml:space="preserve">Local: </t>
  </si>
  <si>
    <t>1.1</t>
  </si>
  <si>
    <t>2.1</t>
  </si>
  <si>
    <t>3.1</t>
  </si>
  <si>
    <t>3.2</t>
  </si>
  <si>
    <t>3.3</t>
  </si>
  <si>
    <t>3.4</t>
  </si>
  <si>
    <t>3.5</t>
  </si>
  <si>
    <t>SERVIÇOS PRELIMINARES</t>
  </si>
  <si>
    <t>m³</t>
  </si>
  <si>
    <t>2.2</t>
  </si>
  <si>
    <t>2.3</t>
  </si>
  <si>
    <t>2.4</t>
  </si>
  <si>
    <t>M²</t>
  </si>
  <si>
    <t>74209/001</t>
  </si>
  <si>
    <t>2.5</t>
  </si>
  <si>
    <t>3.1.1</t>
  </si>
  <si>
    <t>3.3.1</t>
  </si>
  <si>
    <t>3.4.1</t>
  </si>
  <si>
    <t>3.5.1</t>
  </si>
  <si>
    <t>PAVIMENTAÇÃO</t>
  </si>
  <si>
    <t>ÁREAS:</t>
  </si>
  <si>
    <t>1.2</t>
  </si>
  <si>
    <t>1.3</t>
  </si>
  <si>
    <t>2.6</t>
  </si>
  <si>
    <t>3.6</t>
  </si>
  <si>
    <t>OBRAS COMPLEMENTARES DE PAVIMENTAÇÃO</t>
  </si>
  <si>
    <t>CONFECÇÃO DE PLACAS DE SINALIZAÇÃO TOTALMENTE REFLETIVA (IDENTIFICAÇÃO DE RUAS)</t>
  </si>
  <si>
    <t>UND</t>
  </si>
  <si>
    <t>CONFECÇÃO SUPORTE E TRAVESSA P/ PLACAS DE SINALIZAÇÃO (IDENTIFICAÇÃO DE RUAS)</t>
  </si>
  <si>
    <t>DRENAGEM DE ÁGUAS PLUVIAIS</t>
  </si>
  <si>
    <t>ELEMENTOS AUXILIARES</t>
  </si>
  <si>
    <t>SINALIZAÇÃO</t>
  </si>
  <si>
    <t>SINALIZACAO DE TRANSITO - NOTURNA</t>
  </si>
  <si>
    <t>ESTADO DE MATO GROSSO</t>
  </si>
  <si>
    <t>OBRA:</t>
  </si>
  <si>
    <t>LOCAL:</t>
  </si>
  <si>
    <t>PROPR.:</t>
  </si>
  <si>
    <t>ÁREA (M²):</t>
  </si>
  <si>
    <t>BDI:</t>
  </si>
  <si>
    <t>TABELA:</t>
  </si>
  <si>
    <t>Item</t>
  </si>
  <si>
    <t>Rua/Avenida</t>
  </si>
  <si>
    <t>Extensão (mt)</t>
  </si>
  <si>
    <t>Largura (mt)</t>
  </si>
  <si>
    <t>Área (m²)</t>
  </si>
  <si>
    <t>Limpa-Rodas</t>
  </si>
  <si>
    <t>Área Total (m²)</t>
  </si>
  <si>
    <t>Código</t>
  </si>
  <si>
    <t>Quant.</t>
  </si>
  <si>
    <t>Área Parcial (m²)</t>
  </si>
  <si>
    <t>Totais Parciais - m²</t>
  </si>
  <si>
    <t>Total Geral - m²</t>
  </si>
  <si>
    <t>Lado Direito</t>
  </si>
  <si>
    <t>Totais Parciais - m</t>
  </si>
  <si>
    <t>MEMÓRIA DE CÁLCULO</t>
  </si>
  <si>
    <t>1.0</t>
  </si>
  <si>
    <t>Tubulação D=40cm</t>
  </si>
  <si>
    <t>Tubulação D=60cm</t>
  </si>
  <si>
    <t>Dissipador de energia</t>
  </si>
  <si>
    <t>und</t>
  </si>
  <si>
    <t>2.0</t>
  </si>
  <si>
    <t>Tubulação D=80cm</t>
  </si>
  <si>
    <t>Tubulação D=100cm</t>
  </si>
  <si>
    <t>Tubulação D=120cm</t>
  </si>
  <si>
    <t>Tubulação D=150cm</t>
  </si>
  <si>
    <t>Boca de lobo simples</t>
  </si>
  <si>
    <t>3.0</t>
  </si>
  <si>
    <t>4.0</t>
  </si>
  <si>
    <t>RUA</t>
  </si>
  <si>
    <t>TUBULAÇÃO</t>
  </si>
  <si>
    <t>BOCA DE LOBO</t>
  </si>
  <si>
    <t>CAIXA DE PASSAGEM</t>
  </si>
  <si>
    <t>DISSIPADOR</t>
  </si>
  <si>
    <t>Ø 40cm</t>
  </si>
  <si>
    <t>Ø 60cm</t>
  </si>
  <si>
    <t>Ø 80cm</t>
  </si>
  <si>
    <t>Ø 100cm</t>
  </si>
  <si>
    <t>Ø 120cm</t>
  </si>
  <si>
    <t>SIMP</t>
  </si>
  <si>
    <t>TOTAL PARCIAL - M</t>
  </si>
  <si>
    <t>TOTAL GERAL - M</t>
  </si>
  <si>
    <t>Lado esquerdo</t>
  </si>
  <si>
    <t>PLACA DE OBRA EM CHAPA DE ACO GALVANIZADO</t>
  </si>
  <si>
    <t>SERVIÇOS PRELIMINARES GERAL</t>
  </si>
  <si>
    <t>ESCAVACAO DE VALA (TIPO 01) NAO ESCORADA EM MATERIAL DE 1A CATEGORIA COM PROFUNDIDADE DE 1,5 ATE 3M COM RETROESCAVADEIRA 75HP, SEM ESGOTAMENTO</t>
  </si>
  <si>
    <t>REGULARIZACAO E COMPACTACAO DE SUBLEITO ATE 20 CM DE ESPESSURA</t>
  </si>
  <si>
    <t>SINALIZAÇÃO HORIZONTAL E VERTICAL</t>
  </si>
  <si>
    <t>1-MEMORIAL DE CÁLCULO DO FORNECIMENTO E IMPLANTAÇÃO DE PLACAS DE SINALIZAÇÃO</t>
  </si>
  <si>
    <t>Área =</t>
  </si>
  <si>
    <t>x</t>
  </si>
  <si>
    <t>ud</t>
  </si>
  <si>
    <t>=</t>
  </si>
  <si>
    <t>A-32b (faixa ped.)</t>
  </si>
  <si>
    <t>Lado: 0,50x0,50m</t>
  </si>
  <si>
    <t>2-SUPORTE E TRAVESSAS PARA FIXAÇÃO DAS PLACAS</t>
  </si>
  <si>
    <t>PLACAS DE SINALIZAÇÃO</t>
  </si>
  <si>
    <t>PLACAS DE INDICAÇÃO D RUA</t>
  </si>
  <si>
    <t>3-TINTA ACRILICA PARA PINTURA VIÁRIA</t>
  </si>
  <si>
    <t>LISTRAS "SECCIONADAS" DE 4M</t>
  </si>
  <si>
    <t>Largura</t>
  </si>
  <si>
    <t>Comp.</t>
  </si>
  <si>
    <t>Quant</t>
  </si>
  <si>
    <t>Total</t>
  </si>
  <si>
    <t>FAIXAS DE PEDRESTRES</t>
  </si>
  <si>
    <t>Comprim</t>
  </si>
  <si>
    <t>Nr. Bloco</t>
  </si>
  <si>
    <t>FAIXAS D BORDO</t>
  </si>
  <si>
    <t>Comprim.</t>
  </si>
  <si>
    <t xml:space="preserve">TOTAL </t>
  </si>
  <si>
    <t>RESUMO</t>
  </si>
  <si>
    <t>Confec. placas de sinalização com tratamento anti-ferrugem totalmente refletivas (Aço nº 18)</t>
  </si>
  <si>
    <t xml:space="preserve">Confecção suporte e travessa p/ placas sinalização </t>
  </si>
  <si>
    <t>Pintura faixas - tinta base acrílica p/ 02 anos</t>
  </si>
  <si>
    <t>PREÇO UNIT COM BDI</t>
  </si>
  <si>
    <t>PLANILHA ORÇAMENTÁRIA</t>
  </si>
  <si>
    <t xml:space="preserve">VALOR PARCIAL SEM BDI   </t>
  </si>
  <si>
    <t>MOVIMENTO DE TERRA</t>
  </si>
  <si>
    <t>FORNECIMENTO E ASSENTAMENTO DE TUBOS</t>
  </si>
  <si>
    <t>TERRAPLANAGEM</t>
  </si>
  <si>
    <t>SINALIZAÇÃO VIÁRIA</t>
  </si>
  <si>
    <t>TABELA REFERÊNCIA</t>
  </si>
  <si>
    <t>DISCRIMINAÇÃO</t>
  </si>
  <si>
    <t>L = comprimento TOTAL</t>
  </si>
  <si>
    <t>VALA</t>
  </si>
  <si>
    <t>(V1) Volume da Vala</t>
  </si>
  <si>
    <t>(A) Área do tubo</t>
  </si>
  <si>
    <t>B=largura da vala</t>
  </si>
  <si>
    <t>P=altura da vala</t>
  </si>
  <si>
    <t>A x L</t>
  </si>
  <si>
    <t>COMPR</t>
  </si>
  <si>
    <t>ALT</t>
  </si>
  <si>
    <t>LARG</t>
  </si>
  <si>
    <t>74205/001</t>
  </si>
  <si>
    <t>ESCAVACAO MECANICA DE MATERIAL 1A. CATEGORIA, PROVENIENTE DE CORTE DE SUBLEITO (C/TRATOR ESTEIRAS 160HP)</t>
  </si>
  <si>
    <t>Ver planilha de Drenagem</t>
  </si>
  <si>
    <t>Material de Jazida</t>
  </si>
  <si>
    <t>volume da base+sub-base</t>
  </si>
  <si>
    <t>Extensão total da Drenagem</t>
  </si>
  <si>
    <t>π x r²</t>
  </si>
  <si>
    <t>(V2) Volume do tubo</t>
  </si>
  <si>
    <t>Ver planilha de sinalização</t>
  </si>
  <si>
    <t>Confecção suporte e travessa p/ placas sinalização- p/ SITUAÇÃO DO LOCAL</t>
  </si>
  <si>
    <t>Ver projeto de Drenagem</t>
  </si>
  <si>
    <r>
      <t>R-05  (</t>
    </r>
    <r>
      <rPr>
        <sz val="10"/>
        <rFont val="Calibri"/>
        <family val="2"/>
      </rPr>
      <t>∆</t>
    </r>
    <r>
      <rPr>
        <sz val="10"/>
        <rFont val="Arial"/>
        <family val="2"/>
      </rPr>
      <t>) (Nome das Ruas)</t>
    </r>
  </si>
  <si>
    <t>(Extensão do meio fio)</t>
  </si>
  <si>
    <t>TOTAL DA PLANILHA</t>
  </si>
  <si>
    <t>2.5.1</t>
  </si>
  <si>
    <t>3.2.1</t>
  </si>
  <si>
    <t>3.2.2</t>
  </si>
  <si>
    <t>3.2.3</t>
  </si>
  <si>
    <t>3.2.4</t>
  </si>
  <si>
    <t>3.3.2</t>
  </si>
  <si>
    <t>3.4.2</t>
  </si>
  <si>
    <t>3.4.3</t>
  </si>
  <si>
    <t>3.4.4</t>
  </si>
  <si>
    <t>3.4.5</t>
  </si>
  <si>
    <t>QCI - QUADRO DE COMPOSIÇÃO DO INVESTIMENTO</t>
  </si>
  <si>
    <t>Contrapartida</t>
  </si>
  <si>
    <t xml:space="preserve">                                                                                              </t>
  </si>
  <si>
    <t>número familia</t>
  </si>
  <si>
    <t>COMPOSIÇÃO DE BDI</t>
  </si>
  <si>
    <t>ITENS COMPONENTE DO BDI</t>
  </si>
  <si>
    <t>GARANTIA</t>
  </si>
  <si>
    <t>RISCO</t>
  </si>
  <si>
    <t>DESPESAS FINANCEIRAS</t>
  </si>
  <si>
    <t>ADMINISTRAÇÃO CENTRAL</t>
  </si>
  <si>
    <t>LUCRO</t>
  </si>
  <si>
    <t>4.1</t>
  </si>
  <si>
    <t>4.2</t>
  </si>
  <si>
    <t>4.3</t>
  </si>
  <si>
    <t>4.4</t>
  </si>
  <si>
    <t>4.5</t>
  </si>
  <si>
    <t>4.6</t>
  </si>
  <si>
    <t>4.7</t>
  </si>
  <si>
    <t>4.8</t>
  </si>
  <si>
    <t>5.0</t>
  </si>
  <si>
    <t>EXTENSÃO</t>
  </si>
  <si>
    <t>Caixa Coletora</t>
  </si>
  <si>
    <t>ROBSON DARCIO SOUSA</t>
  </si>
  <si>
    <t>POÇO DE VISITA (Ø60)</t>
  </si>
  <si>
    <t>POÇO DE VISITA (Ø80)</t>
  </si>
  <si>
    <t>3.9</t>
  </si>
  <si>
    <t>Poço de Visita - Coletor de Ø80</t>
  </si>
  <si>
    <t>Poço de Visita - Coletor de Ø60</t>
  </si>
  <si>
    <t>4.9</t>
  </si>
  <si>
    <t>TRATAMENTO SUPERFICIAL DUPLO - TSD, COM EMULSAO RR-2C</t>
  </si>
  <si>
    <t>CAPA SELANTE COM EMULSAO RR-2C, INCLUSO APLICACAO E COMPACTACAO</t>
  </si>
  <si>
    <t>volume da caixa</t>
  </si>
  <si>
    <t>volume da escav.</t>
  </si>
  <si>
    <t xml:space="preserve">Equipamentos                  </t>
  </si>
  <si>
    <t xml:space="preserve">Unid </t>
  </si>
  <si>
    <t xml:space="preserve">Qtde </t>
  </si>
  <si>
    <t xml:space="preserve">Custo Unit </t>
  </si>
  <si>
    <t xml:space="preserve">Custo Total </t>
  </si>
  <si>
    <t>Cód. Sinapi</t>
  </si>
  <si>
    <t>CAMINHÃO BASCULANTE 204 CV (VU=7 ANOS/14.000H) - CHP DIURNO</t>
  </si>
  <si>
    <t>CHP</t>
  </si>
  <si>
    <t>ROLO COMPACTADOR DE PNEUS ESTATICO, PRESSÃO VARIÁVEL, POTENCIA 11 HP - PESO SEM/COM LASTRO 9,5/22,4T</t>
  </si>
  <si>
    <t>CHI</t>
  </si>
  <si>
    <t>DISTRIBUIDOR DE BETUME 6000L - 56CV - SOB PRESSÃO MONTADO SOBRE CHASSIS DE CAMINHÃO</t>
  </si>
  <si>
    <t>DISTRIBUIDOR DE BETUME 6000L - 56CV - SOB PRESSÃO MONTADO SOBRE CHASSIS DE CAMINHÃO - MANUTENÇÃO</t>
  </si>
  <si>
    <t>H</t>
  </si>
  <si>
    <t>DISTRIBUIDOR DE AGREGADOS AUTROPELIDO, CAP 3 M³, A DISEL, 6CC</t>
  </si>
  <si>
    <t xml:space="preserve">Total de equipamentos                                                               </t>
  </si>
  <si>
    <t xml:space="preserve">Mao de Obra                   </t>
  </si>
  <si>
    <t xml:space="preserve">H     </t>
  </si>
  <si>
    <t xml:space="preserve">Total de mão de obra                                                                 </t>
  </si>
  <si>
    <t xml:space="preserve">Material                      </t>
  </si>
  <si>
    <t>EMULSÃO ASFÁLTICA CATIÔNICA RR-2C P/ USO EM PAVIMENTAÇÃO ASFÁLTICA</t>
  </si>
  <si>
    <t xml:space="preserve">KG    </t>
  </si>
  <si>
    <t xml:space="preserve">M3    </t>
  </si>
  <si>
    <t xml:space="preserve">Total de material                                                            </t>
  </si>
  <si>
    <t xml:space="preserve">Preco de Custo                                                        </t>
  </si>
  <si>
    <t xml:space="preserve">Bonificacao                                                           </t>
  </si>
  <si>
    <t xml:space="preserve">Preco de Venda                                                        </t>
  </si>
  <si>
    <t>COMPACTADOR DE PNEUS AUTO-PROPULSOR DIESEL 76HP C/7 PNEUS-CI- PESO 5,5/20T INCL OPERADOR</t>
  </si>
  <si>
    <t>ESPALHADOR AGREG REBOCAVEL CAPAC RASA 1,3M3 PESO 860KG (CP) DIAM ROLO 127MM (5") - EXCL OPERADOR</t>
  </si>
  <si>
    <t>TRATOR DE PNEUS MOTOR DIESEL 61CV INCL OPERADOR (CP)</t>
  </si>
  <si>
    <t>DISTRIBUIDOR BETUME SOB PRESSAO GAS (CP) SOBRE CHASSIS CAMINHAO - INCL ESTE C/MOTORISTA</t>
  </si>
  <si>
    <t>INSTALACAO DE AQUECIMENTO E ARMAZENAMENTO DE ASFALTO (CP) EM 2 TANQUES DE 30000L CADA - INCL OPERADOR</t>
  </si>
  <si>
    <t>área de pavimentação</t>
  </si>
  <si>
    <t>PAVIMENTAÇÃO EM TSD</t>
  </si>
  <si>
    <t>Total Geral  - m</t>
  </si>
  <si>
    <t>Não entra aqui....em boca de lobo já contempla escavação e reaterro</t>
  </si>
  <si>
    <t>R-01 (Pare)</t>
  </si>
  <si>
    <t>Lado=0,21m / Ø0,50m</t>
  </si>
  <si>
    <t>FAIXA DE RETENÇÃO</t>
  </si>
  <si>
    <t>LINHA DE APROXIMAÇÃO (AMARELA/BRANCA)</t>
  </si>
  <si>
    <t>ÁREA(m²)</t>
  </si>
  <si>
    <t>LETREIRO "PARE"</t>
  </si>
  <si>
    <t>ESCAVACAO DE VALA NAO ESCORADA EM MATERIAL 1A CATEGORIA, PROFUNDIDADE ATE 1,5 M COM ESCAVADEIRA HIDRAULICA 105 HP(CAPACIDADE DE 0,78M3), SEM ESGOTAMENTO</t>
  </si>
  <si>
    <t>PAVIMENTAÇÃO ASFÁLTICA E DRENAGEM DE VIAS PÚBLICAS</t>
  </si>
  <si>
    <t>Extensão total do meio fio c/ sarjeta</t>
  </si>
  <si>
    <t>QUADRO QUANTITATIVO DE MEIO-FIO COM SARJETA</t>
  </si>
  <si>
    <t>Área da terraplenagem</t>
  </si>
  <si>
    <t>3.6.1</t>
  </si>
  <si>
    <t>3.9.1</t>
  </si>
  <si>
    <t xml:space="preserve">QUADRO DEMONSTRATIVO DE TERRAPLENAGEM  </t>
  </si>
  <si>
    <t xml:space="preserve">QUADRO DEMONSTRATIVO DE PAVIMENTAÇÃO </t>
  </si>
  <si>
    <t xml:space="preserve">Área da terraplenagem do pav. </t>
  </si>
  <si>
    <t>Ver Quantitativo de Transporte (Brita)</t>
  </si>
  <si>
    <t>Ver Quantitativo de Transporte (CM30 + RR-2C)</t>
  </si>
  <si>
    <t>Volume de Base</t>
  </si>
  <si>
    <t>POÇO DE VISITA (Ø100)</t>
  </si>
  <si>
    <t>DUPLA</t>
  </si>
  <si>
    <t>Poço de Visita - Coletor de Ø100</t>
  </si>
  <si>
    <t>2.7</t>
  </si>
  <si>
    <t>2.8</t>
  </si>
  <si>
    <t>txkm</t>
  </si>
  <si>
    <t>CREA 120.263.916-0</t>
  </si>
  <si>
    <t>PERIMETRO URBANO</t>
  </si>
  <si>
    <t>ADMINISTRAÇÃO LOCAL</t>
  </si>
  <si>
    <t>6.0</t>
  </si>
  <si>
    <t>QUANT.</t>
  </si>
  <si>
    <t>VER PLANILHA DE ADM</t>
  </si>
  <si>
    <t>4.4.2</t>
  </si>
  <si>
    <t>POÇO DE VISITA (Ø120)</t>
  </si>
  <si>
    <t>POÇO DE VISITA DUPLO</t>
  </si>
  <si>
    <t>2.9</t>
  </si>
  <si>
    <t>2.10</t>
  </si>
  <si>
    <t>4.10</t>
  </si>
  <si>
    <t>PREFEITURA MUNICIPAL DE MIRASSOL D' OESTE</t>
  </si>
  <si>
    <t>1 a cada 200 metros</t>
  </si>
  <si>
    <t xml:space="preserve">VALOR TOTAL </t>
  </si>
  <si>
    <t>DIAS</t>
  </si>
  <si>
    <t>DO ITEM - R$</t>
  </si>
  <si>
    <t>Repasse</t>
  </si>
  <si>
    <t>TOTAL GERAL</t>
  </si>
  <si>
    <t>R$</t>
  </si>
  <si>
    <t xml:space="preserve"> MENSAL</t>
  </si>
  <si>
    <t>Mês</t>
  </si>
  <si>
    <t xml:space="preserve"> ACUMULADO</t>
  </si>
  <si>
    <t>Acumulado</t>
  </si>
  <si>
    <t>4.4.3</t>
  </si>
  <si>
    <t>LASTRO (COLCHAO) DE AREIA, INCLUSIVE MAO-DE-OBRA DE ESPALHAMENTO, TRANSPORTE COM CARRO DE MAO E FORNECIMENTO COMERCIAL</t>
  </si>
  <si>
    <t>SERVICOS TOPOGRAFICOS PARA PAVIMENTACAO, INCLUSIVE NOTA DE SERVICOS, ACOMPANHAMENTO E GREIDE</t>
  </si>
  <si>
    <t>60 DIAS</t>
  </si>
  <si>
    <t>120 DIAS</t>
  </si>
  <si>
    <t>DESCRIÇÃO</t>
  </si>
  <si>
    <t>UNIDADE</t>
  </si>
  <si>
    <t>CALCULO</t>
  </si>
  <si>
    <t>30 DIAS</t>
  </si>
  <si>
    <t>90 DIAS</t>
  </si>
  <si>
    <t>150 DIAS</t>
  </si>
  <si>
    <t>3.4.6</t>
  </si>
  <si>
    <t>SEGURO</t>
  </si>
  <si>
    <t>* ISS 5% sobre 40% de mão-de-obra</t>
  </si>
  <si>
    <t>180 DIAS</t>
  </si>
  <si>
    <t>IMPERIO</t>
  </si>
  <si>
    <t>TABELA INSTRUÇÃO DE SERVIÇO - DNIT 01/2009</t>
  </si>
  <si>
    <t>***</t>
  </si>
  <si>
    <t>RODOVIA COM REVESTIMENTO ASFALTICO</t>
  </si>
  <si>
    <t>Km</t>
  </si>
  <si>
    <t>FORMULA - Modalidade a quente</t>
  </si>
  <si>
    <t>24,715 + 0,247*D</t>
  </si>
  <si>
    <t>CUSTO UNITARIO - 01/2009</t>
  </si>
  <si>
    <t>R$ / T</t>
  </si>
  <si>
    <t>RODOVIA COM REVESTIMENTO PRIMARIO</t>
  </si>
  <si>
    <t>24,715 + 0,335*D</t>
  </si>
  <si>
    <t>ÍNDICES DE REAJUSTAMENTO DE OBRAS RODOVIÁRIAS</t>
  </si>
  <si>
    <t>FORMULA DO INDICE DE REAJUSTE</t>
  </si>
  <si>
    <t>IR =</t>
  </si>
  <si>
    <t xml:space="preserve"> If - Ii</t>
  </si>
  <si>
    <t>x 100</t>
  </si>
  <si>
    <t>Ii</t>
  </si>
  <si>
    <t>onde:</t>
  </si>
  <si>
    <t>IR - Indice de Reajuste (%)</t>
  </si>
  <si>
    <t>If - Indice Final (2014)</t>
  </si>
  <si>
    <t>Ii - Indice Inicial (2009)</t>
  </si>
  <si>
    <t>indice 01/2009</t>
  </si>
  <si>
    <t>(A)</t>
  </si>
  <si>
    <t>(B)</t>
  </si>
  <si>
    <t>INDICE DE REAJUSTE</t>
  </si>
  <si>
    <t>( A+B)</t>
  </si>
  <si>
    <t>CUSTO UNITARIO - 06/2014</t>
  </si>
  <si>
    <t>CONFECÇÃO DE PLACAS DE SINALIZAÇÃO TOTALMENTE REFLETIVA</t>
  </si>
  <si>
    <t>CONFECÇÃO SUPORTE E TRAVESSA P/ PLACAS DE SINALIZAÇÃO</t>
  </si>
  <si>
    <t>4.4.4</t>
  </si>
  <si>
    <t>4.4.5</t>
  </si>
  <si>
    <t>Lados</t>
  </si>
  <si>
    <t>Reaproveitamento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</si>
  <si>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</si>
  <si>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</si>
  <si>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</si>
  <si>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</si>
  <si>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</si>
  <si>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</si>
  <si>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</si>
  <si>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</si>
  <si>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</si>
  <si>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</si>
  <si>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COMPOSIÇÃO DE CUSTOS</t>
  </si>
  <si>
    <t>REFERENCIA:</t>
  </si>
  <si>
    <t>SINAPI - 72958</t>
  </si>
  <si>
    <t>PEDRA BRITADA N. 2 (19 A 38 MM) - SEM FRETE</t>
  </si>
  <si>
    <t>PEDRA BRITADA N. 0, OU PEDRISCO (4,8 A 9,5 MM) SEM FRETE</t>
  </si>
  <si>
    <t>SINAPI - 73760/001</t>
  </si>
  <si>
    <t>SERVENTE COM ENCARGOS COMPLEMENTARES</t>
  </si>
  <si>
    <t>ESCORAMENTO DE VALAS DESCONTINUO</t>
  </si>
  <si>
    <t>REATERRO VALA/CAVA C/TRATOR 200CV EXCL COMPACTACAO</t>
  </si>
  <si>
    <t>Ø 150cm</t>
  </si>
  <si>
    <t>PLANILHA CÁLCULO DE DRENAGEM - ESCAVAÇÃO E REATERRO</t>
  </si>
  <si>
    <t>RELAÇÃO DE RUAS BENEFICIADAS - DRENAGEM</t>
  </si>
  <si>
    <t>Volume Total (t)</t>
  </si>
  <si>
    <t>Volume de CM-30 (t)</t>
  </si>
  <si>
    <t>Volume RR-2C (t)</t>
  </si>
  <si>
    <t>CUBAÇÃO PAVIMENTAÇÃO</t>
  </si>
  <si>
    <t>VOLUME PARCIAL</t>
  </si>
  <si>
    <t>VOLUME ACUMULADO</t>
  </si>
  <si>
    <t>RUA / AVENIDA</t>
  </si>
  <si>
    <t>VOLUME DE ATERRO          (m³)</t>
  </si>
  <si>
    <t>VOLUME DE CORTE                (m³)</t>
  </si>
  <si>
    <t>TOTAL DE VOLUMES</t>
  </si>
  <si>
    <t>COMPENSAÇÃO</t>
  </si>
  <si>
    <t>CORTE</t>
  </si>
  <si>
    <t>ATERRO</t>
  </si>
  <si>
    <t>MATERIAL DE BOTA FORA</t>
  </si>
  <si>
    <t>QUADRO DEMONSTRATIVO MATERIAL DE BASE E SUB-BASE</t>
  </si>
  <si>
    <t>Altura de Sub-Base (m)</t>
  </si>
  <si>
    <t>Altura de Base (m)</t>
  </si>
  <si>
    <t>Volume de escavação MF (m³)</t>
  </si>
  <si>
    <t>Volume de Sub-Base (m³)</t>
  </si>
  <si>
    <t>Volume de Base (m³)</t>
  </si>
  <si>
    <t>Volume Total (m³)</t>
  </si>
  <si>
    <t xml:space="preserve">Conversão     m³  /  T    </t>
  </si>
  <si>
    <t>Ext. MF (m)</t>
  </si>
  <si>
    <t>Prof. (m)</t>
  </si>
  <si>
    <t>Largura (m)</t>
  </si>
  <si>
    <t>Volume (m³)</t>
  </si>
  <si>
    <t>Reaterro=V1-V2               ( m³ )</t>
  </si>
  <si>
    <t>KG</t>
  </si>
  <si>
    <t>COMPOSIÇÃO DE CUSTOS UNITÁRIOS</t>
  </si>
  <si>
    <t>REFERENCIA: SINAPI - 72958</t>
  </si>
  <si>
    <t>Orçamento</t>
  </si>
  <si>
    <t>Brita 2   (kg/m²)</t>
  </si>
  <si>
    <t>Brita 0 ou Pedrisco (kg/m²)</t>
  </si>
  <si>
    <t>Volume de Brita 2 (t)</t>
  </si>
  <si>
    <t>Volume de Brita 0 (t)</t>
  </si>
  <si>
    <t>RR - 2C (Kg/m²)</t>
  </si>
  <si>
    <t>CM-30 (Kg/m²)</t>
  </si>
  <si>
    <t>Composição do BDI conforme Acórdão 2622/2013 do TCU</t>
  </si>
  <si>
    <t>3.2.5</t>
  </si>
  <si>
    <t>Ver Planilha de Base e SubBase</t>
  </si>
  <si>
    <t>RECURSO</t>
  </si>
  <si>
    <t>TERRAPLENAGEM</t>
  </si>
  <si>
    <t>QUADRO QUANTITATIVO DE CALÇADA</t>
  </si>
  <si>
    <t>Ver Planilha de Calçada</t>
  </si>
  <si>
    <t>VASSOURA MECÂNICA REBOCÁVEL COM ESCOVA CILÍNDRICA, LARGURA ÚTIL DE VARRIMENTO DE 2,44 M - CHP DIURNO. AF_06/2014</t>
  </si>
  <si>
    <t>VASSOURA MECÂNICA REBOCÁVEL COM ESCOVA CILÍNDRICA, LARGURA ÚTIL DE VARRIMENTO DE 2,44 M - CHI DIURNO. AF_06/2014</t>
  </si>
  <si>
    <t>TRATOR DE PNEUS, POTÊNCIA 122 CV, TRAÇÃO 4X4, PESO COM LASTRO DE 4.510 KG - CHP DIURNO. AF_06/2014</t>
  </si>
  <si>
    <t>TRATOR DE PNEUS, POTÊNCIA 122 CV, TRAÇÃO 4X4, PESO COM LASTRO DE 4.510 KG - CHI DIURNO. AF_06/2014</t>
  </si>
  <si>
    <t>IMPRIMACAO DE BASE DE PAVIMENTACAO SEM EMULSAO CM-30</t>
  </si>
  <si>
    <t>LR-01</t>
  </si>
  <si>
    <t>SERVIÇO:</t>
  </si>
  <si>
    <t>POCO VISITA DUPLO 1,90X2,8X1,50 M COLETOR D=1,2M PAREDE E=20CM BASE CONC FCK=15MPA</t>
  </si>
  <si>
    <t>SINFRA SETEMBRO 2012</t>
  </si>
  <si>
    <t>73990/001</t>
  </si>
  <si>
    <t>ARMACAO ACO CA-50 P/1,0M3 DE CONCRETO</t>
  </si>
  <si>
    <t xml:space="preserve">Total de mão de obra                                                        </t>
  </si>
  <si>
    <t>BARRA LISA TRACO 1:3 (CIMENTO E AREIA MEDIA NAO PENEIRADA), INCLUSO ADITIVO IMPERMEABILIZANTE, ESPESSURA 0,5CM, PREPARO MANUAL DA ARGAMASSA</t>
  </si>
  <si>
    <t>COMPOSIÇÃO</t>
  </si>
  <si>
    <t>CAMINHÃO BASCULANTE 6 M3 TOCO, PESO BRUTO TOTAL 16.000 KG, CARGA ÚTIL MÁXIMA 11.130 KG, DISTÂNCIA ENTRE EIXOS 5,36 M, POTÊNCIA 185 CV, INCLUSIVE CAÇAMBA METÁLICA - CHP DIURNO. AF_06/2014</t>
  </si>
  <si>
    <t>REFERENCIA: SINAPI - 73760/1</t>
  </si>
  <si>
    <t>ESPARGIDOR DE ASFALTO PRESSURIZADO, TANQUE 6 M3 COM ISOLAÇÃO TÉRMICA, AQUECIDO COM 2 MAÇARICOS, COM BARRA ESPARGIDORA 3,60 M, MONTADO SOBRE CAMINHÃO  TOCO, PBT 14.300 KG, POTÊNCIA 185 CV - CHP DIURNO. AF_08/2015</t>
  </si>
  <si>
    <t>MESTRE DE OBRAS COM ENCARGOS COMPLEMENTARES</t>
  </si>
  <si>
    <t>FORMA PARA ESTRUTURAS DE CONCRETO (PILAR, VIGA E LAJE) EM CHAPA DE MADEIRA COMPENSADA PLASTIFICADA, DE 1,10 X 2,20, ESPESSURA = 12 MM, 05 UTILIZACOES. (FABRICACAO, MONTAGEM E DESMONTAGEM - EXCLUSIVE ESCORAMENTO)</t>
  </si>
  <si>
    <t>CONCRETO FCK=15MPA (1:2,5:3) , INCLUIDO PREPARO MECANICO, LANCAMENTO E ADENSAMENTO.</t>
  </si>
  <si>
    <t>ALVENARIA EMBASAMENTO TIJOLO CERAMICO FURADO 10X20X20 CM</t>
  </si>
  <si>
    <t xml:space="preserve">CHAPISCO APLICADO TANTO EM PILARES E VIGAS DE CONCRETO COMO EM ALVENARIA DE FACHADA COM PRESENÇA DE VÃOS, COM ROLO PARA TEXTURA ACRÍLICA. ARGAMASSA TRAÇO 1:4 E EMULSÃO POLIMÉRICA (ADESIVO) COM PREPARO EM MISTURADOR 300 KG. </t>
  </si>
  <si>
    <t>Cód. SINAPI</t>
  </si>
  <si>
    <t>QUADRO QUANTITATIVO DE PISO TATIL</t>
  </si>
  <si>
    <t>Quant Parcial (und)</t>
  </si>
  <si>
    <t>Cruzamentos / Rampas PNE</t>
  </si>
  <si>
    <t>COTAÇÃO</t>
  </si>
  <si>
    <t>01</t>
  </si>
  <si>
    <t>Codigo</t>
  </si>
  <si>
    <t>Descrição dos Serviços</t>
  </si>
  <si>
    <t>Unid.</t>
  </si>
  <si>
    <t>P.Unit</t>
  </si>
  <si>
    <t>V.Total(R$)</t>
  </si>
  <si>
    <t>ATACADÃO DO PISO</t>
  </si>
  <si>
    <t>LADRIART'S</t>
  </si>
  <si>
    <t>SOLUÇÃO ACESSIVEL</t>
  </si>
  <si>
    <t>MATERIAIS</t>
  </si>
  <si>
    <t>Und</t>
  </si>
  <si>
    <t>ARGAMASSA INDUSTRIALIZADA PARA REVESTIMENTOS, MISTURA E PROJEÇÃO DE 1M³/H DE ARGAMASSA. AF_06/2014</t>
  </si>
  <si>
    <t>MAO DE OBRA</t>
  </si>
  <si>
    <t>TOTAL DO ITEM &gt;&gt;&gt;</t>
  </si>
  <si>
    <t>PISO TATIL DE CONCRETO - 0,25x0,25 m</t>
  </si>
  <si>
    <t>ENGENHEIRO CIVIL DE OBRA PLENO COM ENCARGOS COMPLEMENTARES</t>
  </si>
  <si>
    <t>CHEFE DE ESCRITORIO - AUXILIAR DE ESCRITORIO COM ENCARGOS COMPLEMENTARES</t>
  </si>
  <si>
    <t>DISTRIBUIDOR DE AGREGADOS REBOCAVEL, CAPACIDADE 1,9 M³, LARGURA DE TRABALHO 3,66 M - CHP DIURNO. AF_11/2015</t>
  </si>
  <si>
    <t>DATA:</t>
  </si>
  <si>
    <t>VOLUME DE ATERRO                          (m³)</t>
  </si>
  <si>
    <t>VOLUME DE CORTE                         (m³)</t>
  </si>
  <si>
    <t>QUADRO DE QUANTIDADES - ADMINISTRAÇÃO LOCAL</t>
  </si>
  <si>
    <t>COMPOSIÇÃO DE CUSTO UNITÁRIO - POÇO DE VISITA</t>
  </si>
  <si>
    <t>MÃO DE OBRA</t>
  </si>
  <si>
    <t>COMPOSIÇÃO DE CUSTO UNITARIO - TRANSPORTE DE MATERIAL BETUMINOSO</t>
  </si>
  <si>
    <t>LIMPA RODAS</t>
  </si>
  <si>
    <t>PISO TATIL DE CONCRETO - 0,25 x 0,25m</t>
  </si>
  <si>
    <t>MEDIANA</t>
  </si>
  <si>
    <t>PREFEITURA MUNICIPAL DE JACIARA</t>
  </si>
  <si>
    <t>Extensão (m)</t>
  </si>
  <si>
    <t>TRIBUTOS (ISS 2%*; PIS 0,65; COFINS 3%, CPRB 4,5% )</t>
  </si>
  <si>
    <t>AJUDANTE DE PEDREIRO COM ENCARGOS COMPLEMENTARES</t>
  </si>
  <si>
    <t>PEDREIRO COM ENCARGOS COMPLEMENTARES</t>
  </si>
  <si>
    <t>Area Parcial (m²)</t>
  </si>
  <si>
    <t>Area Total (m²)</t>
  </si>
  <si>
    <t>TRECHO 01</t>
  </si>
  <si>
    <t>CP</t>
  </si>
  <si>
    <t>CONV</t>
  </si>
  <si>
    <t>PEDRA BRITADA N. 0 ou PEDRISCO  (SEM FRETE)</t>
  </si>
  <si>
    <t>4718</t>
  </si>
  <si>
    <t>BRITA 2  - ( SEM FRETE )</t>
  </si>
  <si>
    <t>ROLO COMPACTADOR DE PNEUS ESTÁTICO, PRESSÃO VARIÁVEL, POTÊNCIA 111 HP, PESO SEM/COM LASTRO 9,5 / 26 T, LARGURA DE TRABALHO 1,90 M - CHP DIURNO. AF_07/2014</t>
  </si>
  <si>
    <t>ROLO COMPACTADOR DE PNEUS ESTÁTICO, PRESSÃO VARIÁVEL, POTÊNCIA 111 HP, PESO SEM/COM LASTRO 9,5 / 26 T, LARGURA DE TRABALHO 1,90 M - CHI DIURNO. AF_07/2014</t>
  </si>
  <si>
    <t>3.1.2</t>
  </si>
  <si>
    <t>3.2.6</t>
  </si>
  <si>
    <t>3.2.7</t>
  </si>
  <si>
    <t>3.2.8</t>
  </si>
  <si>
    <t>3.2.9</t>
  </si>
  <si>
    <t>3.2.10</t>
  </si>
  <si>
    <t>3.2.11</t>
  </si>
  <si>
    <t>3.2.12</t>
  </si>
  <si>
    <t>indice 03/2016</t>
  </si>
  <si>
    <t>OBRAS COMPLEMENTARES</t>
  </si>
  <si>
    <t>2 x 0,50x0,20m</t>
  </si>
  <si>
    <t>Ext. (m)</t>
  </si>
  <si>
    <t>Ext. Parcial (m)</t>
  </si>
  <si>
    <t>Ext. Total (m)</t>
  </si>
  <si>
    <t>Extensão Total (m) Meio-Fio c/ Sargeta</t>
  </si>
  <si>
    <t xml:space="preserve">PREÇO UNIT        SEM BDI   </t>
  </si>
  <si>
    <t>VALOR PARCIAL              COM BDI</t>
  </si>
  <si>
    <t>SINAPI</t>
  </si>
  <si>
    <t>SICRO</t>
  </si>
  <si>
    <t>ÁREA (m²):</t>
  </si>
  <si>
    <t>Largura           (m)</t>
  </si>
  <si>
    <t>Área                (m²)</t>
  </si>
  <si>
    <t>INVESTIMENTO</t>
  </si>
  <si>
    <t>UNIÃO</t>
  </si>
  <si>
    <t>CONTRA P.</t>
  </si>
  <si>
    <t>OUTROS</t>
  </si>
  <si>
    <t>2 S 03 940 01</t>
  </si>
  <si>
    <t>REATERRO E COMPACTAÇÃO</t>
  </si>
  <si>
    <t>REFERENCIA: SINAPI - 72945</t>
  </si>
  <si>
    <t>3X3</t>
  </si>
  <si>
    <t>02 Unidades no Trecho 05</t>
  </si>
  <si>
    <t>5m por EDA</t>
  </si>
  <si>
    <t xml:space="preserve">  </t>
  </si>
  <si>
    <t xml:space="preserve">   </t>
  </si>
  <si>
    <t>EXECUÇÃO DE DEPÓSITO EM CANTEIRO DE OBRA EM CHAPA DE MADEIRA COMPENSADA, NÃO INCLUSO MOBILIÁRIO. AF_04/2016</t>
  </si>
  <si>
    <t>GUIA (MEIO-FIO) E SARJETA CONJUGADOS DE CONCRETO, MOLDADA IN LOCO EM TRECHO RETO COM EXTRUSORA, GUIA 13 CM BASE X 22 CM ALTURA, SARJETA 30CM BASE X 8,5 CM ALTURA. AF_06/2016</t>
  </si>
  <si>
    <t>EXECUÇÃO DE PASSEIO (CALÇADA) COM CONCRETO MOLDADO IN LOCO, FEITO EM OBRA, ACABAMENTO CONVENCIONAL, NÃO ARMADO. AF_07/2016</t>
  </si>
  <si>
    <t>Espessura (m)</t>
  </si>
  <si>
    <t>ESPARGIDOR DE ASFALTO PRESSURIZADO, TANQUE 6 M3 COM ISOLAÇÃO TÉRMICA, AQUECIDO COM 2 MAÇARICOS, COM BARRA ESPARGIDORA 3,60 M, MONTADO SOBRE CAMINHÃO  TOCO, PBT 14.300 KG, POTÊNCIA 185 CV - CHI DIURNO. AF_08/2015</t>
  </si>
  <si>
    <t>DISTRIBUIDOR DE AGREGADOS AUTOPROPELIDO, CAP 3 M3, A DIESEL, POTÊNCIA 176CV - CHP DIURNO. AF_07/2016</t>
  </si>
  <si>
    <t>TANQUE DE ASFALTO ESTACIONÁRIO COM SERPENTINA, CAPACIDADE 30.000 L - CHP DIURNO. AF_06/2014</t>
  </si>
  <si>
    <t>TRATOR DE PNEUS, POTÊNCIA 85 CV, TRAÇÃO 4X4, PESO COM LASTRO DE 4.675 KG - CHP DIURNO. AF_06/2014</t>
  </si>
  <si>
    <t>Bota fora x km x 1,84(m³/T)</t>
  </si>
  <si>
    <t>Momento Transporte Pavimentada (txkm)</t>
  </si>
  <si>
    <t>DMT                   (Não Pav.)   (km)</t>
  </si>
  <si>
    <t>DMT                  (Pav.)   (km)</t>
  </si>
  <si>
    <t>Momento Transporte Não Pavimentada (txkm)</t>
  </si>
  <si>
    <t>QUADRO DEMONSTRATIVO DE MATERIAL DE BETUMINOSO</t>
  </si>
  <si>
    <t>QUADRO DEMONSTRATIVO DE MATERIAL PÉTREO</t>
  </si>
  <si>
    <t>Totais Parciais</t>
  </si>
  <si>
    <t>TRANSPORTE DE MATERIAL ASFALTICO, COM CAMINHÃO COM CAPACIDADE DE 20000L EM RODOVIA NÃO PAVIMENTADA PARA DISTÂNCIAS MÉDIAS DE TRANSPORTE IGUAL OU INFERIOR A 100 KM. AF_02/2016 - 24 KM -ENTRADA DA MT-453 AO DISTRITO</t>
  </si>
  <si>
    <t>TRANSPORTE DE MATERIAL ASFALTICO, COM CAMINHÃO COM CAPACIDADE DE 30000L EM RODOVIA PAVIMENTADA PARA DISTÂNCIAS MÉDIAS DE TRANSPORTE SUPERIORES A 100 KM. AF_02/2016 - 112 KM - CUIABA À ENTRADA DA MT-453</t>
  </si>
  <si>
    <t>=1,25X2,5</t>
  </si>
  <si>
    <t>IMPRIMACAO DE BASE DE PAVIMENTACAO COM EMULSAO CM-30</t>
  </si>
  <si>
    <t>CAPA SELANTE COMPREENDENDO APLICAÇÃO DE ASFALTO NA PROPORÇÃO DE 0,7 A 1,5L / M2, DISTRIBUIÇÃO DE AGREGADOS DE 5 A 15KG/M2 E COMPACTAÇÃO COM ROLO - COM EMULSAO RR-2C, INCLUSO APLICACAO E COMPACTACAO</t>
  </si>
  <si>
    <t>PAVIMENTAÇÃO ASFALTICA EM TSD</t>
  </si>
  <si>
    <t>DIVERSAS RUAS - DISTRITO DE CELMA</t>
  </si>
  <si>
    <t>AVENIDA PRINCIPAL</t>
  </si>
  <si>
    <t>ANTES</t>
  </si>
  <si>
    <t>DMT (km) PAV</t>
  </si>
  <si>
    <t>DMT (km) NÃO PAV</t>
  </si>
  <si>
    <t>M Trans. ( txkm ) NÃO PAV</t>
  </si>
  <si>
    <t>M Trans.       ( txkm ) PAV</t>
  </si>
  <si>
    <t>3.2.13</t>
  </si>
  <si>
    <t>DIFE</t>
  </si>
  <si>
    <t>ANP  JUNHO 2017</t>
  </si>
  <si>
    <t>EMULSAO ASFALTICA CATIONICA RR-2C P/ USO EM PAVIMENTACAO ASFALTICA  -ANP JUNHO 2017</t>
  </si>
  <si>
    <t>ASFALTO DILUIDO DE PETROLEO CM-30 - ANP JUNHO 2017</t>
  </si>
  <si>
    <t>EMULSÃO ASFÁLTICA CATIÔNICA RR-2C P/ USO EM PAVIMENTAÇÃO ASFÁLTICA -ANP JUNHO 2017</t>
  </si>
  <si>
    <t>COMPOSIÇÃO 04</t>
  </si>
  <si>
    <t>PISO TÁTIL DIRECIONAL E/OU ALERTA, DE CONCRETO, NA COR NATURAL, P/DEFICIENTES VISUAIS, DIMENSÕES 25X25CM, APLICADO COM ARGAMASSA AC-II</t>
  </si>
  <si>
    <t>M2</t>
  </si>
  <si>
    <t>REFERÊNCIA: ORSE / 9418</t>
  </si>
  <si>
    <t>PISO TÁTIL DIRECIONAL E/OU ALERTA, DE CONCRETO      - 25X25 cm</t>
  </si>
  <si>
    <t>ARGAMASSA COLANTE AC-II</t>
  </si>
  <si>
    <t>Kg</t>
  </si>
  <si>
    <t>REJUNTE COLORIDO, CIMENTICIO</t>
  </si>
  <si>
    <t>COTAÇÕES DE PREÇOS</t>
  </si>
  <si>
    <t>DATA</t>
  </si>
  <si>
    <t>EMPRESA</t>
  </si>
  <si>
    <t>QTD.</t>
  </si>
  <si>
    <t>CNPJ</t>
  </si>
  <si>
    <t>13.374.280/0001-06</t>
  </si>
  <si>
    <t>12.059.644/0001-34</t>
  </si>
  <si>
    <t>LADRIARTS</t>
  </si>
  <si>
    <t>08.810.477/0001-44</t>
  </si>
  <si>
    <t>COMPOSIÇÃO 05</t>
  </si>
  <si>
    <t>CONFECÇÃO DE SUPORTE E TRAVESSA PARA PLACA DE SINALIZAÇÃO</t>
  </si>
  <si>
    <t>REFERÊNCIA: ORSE / 10808</t>
  </si>
  <si>
    <t>SARRAFO DE MADEIRA NAO APARELHADA *2,5 X 7* CM, MACARANDUBA, ANGELIM OU EQUIVALENTE DA REGIAO</t>
  </si>
  <si>
    <t>M</t>
  </si>
  <si>
    <t>PECA DE MADEIRA NAO APARELHADA *7,5 X 7,5* CM (3 X 3 ") MACARANDUBA, ANGELIM OU EQUIVALENTE DA REGIAO</t>
  </si>
  <si>
    <t>TINTA ESMALTE SINTETICO PREMIUM FOSCO</t>
  </si>
  <si>
    <t>L</t>
  </si>
  <si>
    <t>CARPINTEIRO DE FORMAS COM ENCARGOS COMPLEMENTARES</t>
  </si>
  <si>
    <t>PINTOR COM ENCARGOS COMPLEMENTARES</t>
  </si>
  <si>
    <t>TOTAL DA COMPOSIÇÃO&gt;&gt;&gt;</t>
  </si>
  <si>
    <t>COMPOSIÇÃO 06</t>
  </si>
  <si>
    <t>PLACA DE SINALIZACAO EM CHAPA DE ACO NUM 16 COM PINTURA REFLETIVA - FORNECIMENTO E INSTALAÇÃO</t>
  </si>
  <si>
    <t>REFERÊNCIA: SINAPI / 73916/002</t>
  </si>
  <si>
    <t>BUCHA DE NYLON SEM ABA S6, COM PARAFUSO DE 4,20 X 40 MM EM ACO ZINCADO COM ROSCA SOBERBA, CABECA CHATA E FENDA PHILLIPS</t>
  </si>
  <si>
    <t>UN</t>
  </si>
  <si>
    <t>PLACA DE SINALIZACAO EM CHAPA DE ACO NUM 16 COM PINTURA REFLETIVA</t>
  </si>
  <si>
    <t>TRANSPORTE COMERCIAL COM CAMINHAO BASCULANTE 6 M3, RODOVIA PAVIMENTADA - (BRITA)  35 KM - SERRA DE SÃO VICENTE À ENTRADA DA MT-453</t>
  </si>
  <si>
    <t>TRANSPORTE COMERCIAL COM CAMINHAO BASCULANTE 6 M3, RODOVIA COM REVESTIMENTO PRIMARIO - JAZIDA 23,60KM</t>
  </si>
  <si>
    <t>74151/001</t>
  </si>
  <si>
    <t>ESCAVACAO E CARGA MATERIAL 1A CATEGORIA, UTILIZANDO TRATOR DE ESTEIRAS DE 110 A 160HP COM LAMINA, PESO OPERACIONAL * 13T E PA CARREGADEIRA COM 170 HP.</t>
  </si>
  <si>
    <t>SINALIZACAO HORIZONTAL COM TINTA RETRORREFLETIVA A BASE DE RESINA ACRILICA COM MICROESFERAS DE VIDRO</t>
  </si>
  <si>
    <t>Extensão</t>
  </si>
  <si>
    <t>Quant.     Total        (und)</t>
  </si>
  <si>
    <t>Area por Piso     (m²)</t>
  </si>
  <si>
    <t>Area     Total        (m²)</t>
  </si>
  <si>
    <t>Extensão MF           (m)</t>
  </si>
  <si>
    <t>Quant / m  (und)</t>
  </si>
  <si>
    <t>Quant. Parcial  (und)</t>
  </si>
  <si>
    <t>Quant. De Faixas</t>
  </si>
  <si>
    <t>Quant. Rampa / Faixa (und)</t>
  </si>
  <si>
    <t>Quant. Rampa   (und)</t>
  </si>
  <si>
    <t>Quant Piso / Rampa (und)</t>
  </si>
  <si>
    <t>TRECHO</t>
  </si>
  <si>
    <t>ADMINISTRAÇÃO LOCAL DA OBRA</t>
  </si>
  <si>
    <t>Cod. Ref.</t>
  </si>
  <si>
    <t>Descrição</t>
  </si>
  <si>
    <t>Memoria de Calculo</t>
  </si>
  <si>
    <t>TOTAL DA COMPOSIÇÃO</t>
  </si>
  <si>
    <t>ADMINISTRAÇÃO LOCAL DE OBRA</t>
  </si>
  <si>
    <t>20 horas / mês</t>
  </si>
  <si>
    <t>15 horas / mês</t>
  </si>
  <si>
    <t>TRANSPORTE COMERCIAL COM CAMINHAO CARROCERIA 9 T, RODOVIA COM REVESTIMENTO PRIMARIO - (BOTA FORA DE ATE 1,00 KM)</t>
  </si>
  <si>
    <t>TRANSPORTE COMERCIAL COM CAMINHAO CARROCERIA 9 T, RODOVIA PAVIMENTADA - JAZIDA 23,60KM</t>
  </si>
  <si>
    <t>EXECUÇÃO E COMPACTAÇÃO DE SUB BASE COM SOLO ESTABILIZADO GRANULOMETRICAMENTE - EXCLUSIVE ESCAVAÇÃO, CARGA E TRANSPORTE E SOLO. AF_09/2017</t>
  </si>
  <si>
    <t>EXECUÇÃO E COMPACTAÇÃO DE BASE COM SOLO ESTABILIZADO GRANULOMETRICAMENTE - EXCLUSIVE ESCAVAÇÃO, CARGA E TRANSPORTE E SOLO. AF_09/2017</t>
  </si>
  <si>
    <t>TRANSPORTE COMERCIAL COM CAMINHAO CARROCERIA 9 T, RODOVIA COM REVESTIMENTO PRIMARIO - (BRITA)  24 KM -ENTRADA DA MT-453 AO DISTRITO</t>
  </si>
  <si>
    <t>SINAPI - JANEIRO / 2019                                                                             ANP 12/2018 (com desoneração)</t>
  </si>
  <si>
    <t>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</si>
</sst>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(* #,##0.00_);_(* \(#,##0.00\);_(* &quot;-&quot;??_);_(@_)"/>
    <numFmt numFmtId="165" formatCode="##.##000##"/>
    <numFmt numFmtId="166" formatCode="##.##000"/>
    <numFmt numFmtId="167" formatCode="_(* #,##0_);_(* \(#,##0\);_(* &quot;-&quot;??_);_(@_)"/>
    <numFmt numFmtId="168" formatCode="0.0%"/>
    <numFmt numFmtId="169" formatCode="0.0"/>
    <numFmt numFmtId="170" formatCode="#,##0.00000"/>
    <numFmt numFmtId="171" formatCode="0.00000"/>
    <numFmt numFmtId="172" formatCode="#,##0.00000000000"/>
    <numFmt numFmtId="173" formatCode="#,##0.000000"/>
    <numFmt numFmtId="174" formatCode="###,###,##0.00\ "/>
    <numFmt numFmtId="175" formatCode="#,##0.00_ ;[Red]\-#,##0.00\ "/>
    <numFmt numFmtId="176" formatCode="#,##0.000000000000_ ;[Red]\-#,##0.000000000000\ "/>
    <numFmt numFmtId="177" formatCode="_(* #,##0.000_);_(* \(#,##0.000\);_(* &quot;-&quot;???_);_(@_)"/>
    <numFmt numFmtId="178" formatCode="0.000"/>
    <numFmt numFmtId="179" formatCode="_(* #,##0.000_);_(* \(#,##0.000\);_(* &quot;-&quot;??_);_(@_)"/>
    <numFmt numFmtId="180" formatCode="_(* #,##0.00_);_(* \(#,##0.00\);_(* &quot;-&quot;???_);_(@_)"/>
    <numFmt numFmtId="181" formatCode="_-* #,##0.000_-;\-* #,##0.000_-;_-* &quot;-&quot;???_-;_-@_-"/>
    <numFmt numFmtId="182" formatCode="#,##0.0000000"/>
  </numFmts>
  <fonts count="8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16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name val="Arial"/>
      <family val="2"/>
    </font>
    <font>
      <sz val="8"/>
      <color rgb="FF000080"/>
      <name val="Arial"/>
      <family val="2"/>
    </font>
    <font>
      <b/>
      <sz val="10"/>
      <color indexed="12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color indexed="12"/>
      <name val="Arial"/>
      <family val="2"/>
    </font>
    <font>
      <sz val="11"/>
      <name val="Arial"/>
      <family val="2"/>
    </font>
    <font>
      <u/>
      <sz val="12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3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4" tint="0.59999389629810485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9" fontId="1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3" borderId="0" applyNumberFormat="0" applyBorder="0" applyAlignment="0" applyProtection="0"/>
    <xf numFmtId="0" fontId="61" fillId="25" borderId="0" applyNumberFormat="0" applyBorder="0" applyAlignment="0" applyProtection="0"/>
    <xf numFmtId="0" fontId="61" fillId="1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5" borderId="0" applyNumberFormat="0" applyBorder="0" applyAlignment="0" applyProtection="0"/>
    <xf numFmtId="0" fontId="62" fillId="10" borderId="0" applyNumberFormat="0" applyBorder="0" applyAlignment="0" applyProtection="0"/>
    <xf numFmtId="0" fontId="66" fillId="13" borderId="0" applyNumberFormat="0" applyBorder="0" applyAlignment="0" applyProtection="0"/>
    <xf numFmtId="0" fontId="63" fillId="29" borderId="104" applyNumberFormat="0" applyAlignment="0" applyProtection="0"/>
    <xf numFmtId="0" fontId="77" fillId="30" borderId="104" applyNumberFormat="0" applyAlignment="0" applyProtection="0"/>
    <xf numFmtId="0" fontId="64" fillId="31" borderId="105" applyNumberFormat="0" applyAlignment="0" applyProtection="0"/>
    <xf numFmtId="0" fontId="76" fillId="0" borderId="106" applyNumberFormat="0" applyFill="0" applyAlignment="0" applyProtection="0"/>
    <xf numFmtId="0" fontId="64" fillId="31" borderId="105" applyNumberFormat="0" applyAlignment="0" applyProtection="0"/>
    <xf numFmtId="0" fontId="61" fillId="32" borderId="0" applyNumberFormat="0" applyBorder="0" applyAlignment="0" applyProtection="0"/>
    <xf numFmtId="0" fontId="61" fillId="25" borderId="0" applyNumberFormat="0" applyBorder="0" applyAlignment="0" applyProtection="0"/>
    <xf numFmtId="0" fontId="61" fillId="19" borderId="0" applyNumberFormat="0" applyBorder="0" applyAlignment="0" applyProtection="0"/>
    <xf numFmtId="0" fontId="61" fillId="33" borderId="0" applyNumberFormat="0" applyBorder="0" applyAlignment="0" applyProtection="0"/>
    <xf numFmtId="0" fontId="61" fillId="23" borderId="0" applyNumberFormat="0" applyBorder="0" applyAlignment="0" applyProtection="0"/>
    <xf numFmtId="0" fontId="61" fillId="27" borderId="0" applyNumberFormat="0" applyBorder="0" applyAlignment="0" applyProtection="0"/>
    <xf numFmtId="0" fontId="70" fillId="20" borderId="104" applyNumberFormat="0" applyAlignment="0" applyProtection="0"/>
    <xf numFmtId="0" fontId="65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107" applyNumberFormat="0" applyFill="0" applyAlignment="0" applyProtection="0"/>
    <xf numFmtId="0" fontId="68" fillId="0" borderId="108" applyNumberFormat="0" applyFill="0" applyAlignment="0" applyProtection="0"/>
    <xf numFmtId="0" fontId="69" fillId="0" borderId="109" applyNumberFormat="0" applyFill="0" applyAlignment="0" applyProtection="0"/>
    <xf numFmtId="0" fontId="69" fillId="0" borderId="0" applyNumberFormat="0" applyFill="0" applyBorder="0" applyAlignment="0" applyProtection="0"/>
    <xf numFmtId="0" fontId="62" fillId="12" borderId="0" applyNumberFormat="0" applyBorder="0" applyAlignment="0" applyProtection="0"/>
    <xf numFmtId="0" fontId="70" fillId="14" borderId="104" applyNumberFormat="0" applyAlignment="0" applyProtection="0"/>
    <xf numFmtId="0" fontId="71" fillId="0" borderId="110" applyNumberFormat="0" applyFill="0" applyAlignment="0" applyProtection="0"/>
    <xf numFmtId="0" fontId="78" fillId="20" borderId="0" applyNumberFormat="0" applyBorder="0" applyAlignment="0" applyProtection="0"/>
    <xf numFmtId="0" fontId="72" fillId="20" borderId="0" applyNumberFormat="0" applyBorder="0" applyAlignment="0" applyProtection="0"/>
    <xf numFmtId="0" fontId="60" fillId="17" borderId="111" applyNumberFormat="0" applyFont="0" applyAlignment="0" applyProtection="0"/>
    <xf numFmtId="0" fontId="26" fillId="17" borderId="111" applyNumberFormat="0" applyFont="0" applyAlignment="0" applyProtection="0"/>
    <xf numFmtId="0" fontId="73" fillId="29" borderId="112" applyNumberFormat="0" applyAlignment="0" applyProtection="0"/>
    <xf numFmtId="0" fontId="73" fillId="30" borderId="112" applyNumberFormat="0" applyAlignment="0" applyProtection="0"/>
    <xf numFmtId="0" fontId="7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13" applyNumberFormat="0" applyFill="0" applyAlignment="0" applyProtection="0"/>
    <xf numFmtId="0" fontId="81" fillId="0" borderId="114" applyNumberFormat="0" applyFill="0" applyAlignment="0" applyProtection="0"/>
    <xf numFmtId="0" fontId="82" fillId="0" borderId="115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116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/>
    <xf numFmtId="0" fontId="1" fillId="17" borderId="111" applyNumberFormat="0" applyFont="0" applyAlignment="0" applyProtection="0"/>
    <xf numFmtId="0" fontId="1" fillId="0" borderId="0"/>
  </cellStyleXfs>
  <cellXfs count="134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2" fillId="0" borderId="0" xfId="2"/>
    <xf numFmtId="0" fontId="10" fillId="0" borderId="0" xfId="2" applyFont="1"/>
    <xf numFmtId="0" fontId="13" fillId="0" borderId="0" xfId="2" applyFont="1"/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2" fillId="3" borderId="13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32" fillId="0" borderId="13" xfId="0" applyNumberFormat="1" applyFont="1" applyBorder="1" applyAlignment="1">
      <alignment horizontal="center" vertical="center"/>
    </xf>
    <xf numFmtId="4" fontId="32" fillId="3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4" fontId="31" fillId="0" borderId="0" xfId="0" applyNumberFormat="1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3" borderId="13" xfId="0" applyFont="1" applyFill="1" applyBorder="1" applyAlignment="1">
      <alignment vertical="center"/>
    </xf>
    <xf numFmtId="4" fontId="32" fillId="0" borderId="13" xfId="0" applyNumberFormat="1" applyFont="1" applyBorder="1" applyAlignment="1">
      <alignment horizontal="center" vertical="center" wrapText="1"/>
    </xf>
    <xf numFmtId="4" fontId="32" fillId="0" borderId="13" xfId="0" applyNumberFormat="1" applyFont="1" applyBorder="1" applyAlignment="1">
      <alignment vertical="center" wrapText="1"/>
    </xf>
    <xf numFmtId="170" fontId="11" fillId="0" borderId="13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vertical="center"/>
    </xf>
    <xf numFmtId="10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4" fontId="0" fillId="0" borderId="25" xfId="9" applyFont="1" applyBorder="1" applyAlignment="1">
      <alignment vertical="center"/>
    </xf>
    <xf numFmtId="164" fontId="0" fillId="0" borderId="25" xfId="9" quotePrefix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32" fillId="0" borderId="0" xfId="0" applyFont="1"/>
    <xf numFmtId="4" fontId="32" fillId="0" borderId="0" xfId="0" applyNumberFormat="1" applyFont="1"/>
    <xf numFmtId="0" fontId="24" fillId="0" borderId="0" xfId="0" applyFont="1"/>
    <xf numFmtId="164" fontId="8" fillId="0" borderId="32" xfId="8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2" fillId="3" borderId="13" xfId="0" applyNumberFormat="1" applyFont="1" applyFill="1" applyBorder="1" applyAlignment="1">
      <alignment horizontal="center" vertical="center"/>
    </xf>
    <xf numFmtId="4" fontId="11" fillId="3" borderId="13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71" fontId="32" fillId="0" borderId="0" xfId="0" applyNumberFormat="1" applyFont="1"/>
    <xf numFmtId="4" fontId="2" fillId="0" borderId="0" xfId="2" applyNumberFormat="1"/>
    <xf numFmtId="0" fontId="40" fillId="3" borderId="13" xfId="1" applyFont="1" applyFill="1" applyBorder="1" applyAlignment="1">
      <alignment horizontal="center" vertical="center"/>
    </xf>
    <xf numFmtId="0" fontId="28" fillId="0" borderId="0" xfId="1" applyFont="1"/>
    <xf numFmtId="0" fontId="28" fillId="0" borderId="0" xfId="1" applyFont="1" applyAlignment="1">
      <alignment horizontal="center"/>
    </xf>
    <xf numFmtId="0" fontId="41" fillId="3" borderId="13" xfId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45" fillId="0" borderId="0" xfId="0" applyFont="1"/>
    <xf numFmtId="164" fontId="0" fillId="0" borderId="0" xfId="0" applyNumberFormat="1"/>
    <xf numFmtId="164" fontId="11" fillId="0" borderId="0" xfId="7" applyFont="1" applyAlignment="1">
      <alignment horizontal="right" vertical="center"/>
    </xf>
    <xf numFmtId="4" fontId="8" fillId="0" borderId="3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0" fontId="3" fillId="0" borderId="0" xfId="7" applyNumberFormat="1" applyFont="1"/>
    <xf numFmtId="40" fontId="46" fillId="0" borderId="0" xfId="7" applyNumberFormat="1" applyFont="1"/>
    <xf numFmtId="0" fontId="0" fillId="0" borderId="0" xfId="0" applyAlignment="1">
      <alignment horizontal="right"/>
    </xf>
    <xf numFmtId="40" fontId="47" fillId="0" borderId="58" xfId="7" applyNumberFormat="1" applyFont="1" applyBorder="1" applyAlignment="1">
      <alignment horizontal="center"/>
    </xf>
    <xf numFmtId="40" fontId="48" fillId="0" borderId="65" xfId="7" applyNumberFormat="1" applyFont="1" applyBorder="1"/>
    <xf numFmtId="40" fontId="47" fillId="0" borderId="55" xfId="7" applyNumberFormat="1" applyFont="1" applyBorder="1" applyAlignment="1">
      <alignment horizontal="center"/>
    </xf>
    <xf numFmtId="0" fontId="35" fillId="0" borderId="56" xfId="0" applyFont="1" applyBorder="1" applyAlignment="1">
      <alignment horizontal="right"/>
    </xf>
    <xf numFmtId="1" fontId="47" fillId="0" borderId="50" xfId="0" applyNumberFormat="1" applyFont="1" applyBorder="1"/>
    <xf numFmtId="1" fontId="47" fillId="0" borderId="47" xfId="0" applyNumberFormat="1" applyFont="1" applyBorder="1" applyAlignment="1">
      <alignment horizontal="left"/>
    </xf>
    <xf numFmtId="1" fontId="47" fillId="0" borderId="47" xfId="0" applyNumberFormat="1" applyFont="1" applyBorder="1"/>
    <xf numFmtId="1" fontId="47" fillId="0" borderId="47" xfId="0" applyNumberFormat="1" applyFont="1" applyBorder="1" applyAlignment="1">
      <alignment horizontal="center"/>
    </xf>
    <xf numFmtId="40" fontId="47" fillId="0" borderId="51" xfId="7" applyNumberFormat="1" applyFont="1" applyBorder="1"/>
    <xf numFmtId="40" fontId="47" fillId="0" borderId="20" xfId="7" applyNumberFormat="1" applyFont="1" applyBorder="1" applyAlignment="1">
      <alignment horizontal="center"/>
    </xf>
    <xf numFmtId="40" fontId="49" fillId="0" borderId="53" xfId="7" applyNumberFormat="1" applyFont="1" applyBorder="1"/>
    <xf numFmtId="40" fontId="49" fillId="0" borderId="20" xfId="7" applyNumberFormat="1" applyFont="1" applyBorder="1" applyAlignment="1">
      <alignment horizontal="center"/>
    </xf>
    <xf numFmtId="40" fontId="49" fillId="0" borderId="20" xfId="7" applyNumberFormat="1" applyFont="1" applyBorder="1"/>
    <xf numFmtId="175" fontId="0" fillId="0" borderId="0" xfId="0" applyNumberFormat="1"/>
    <xf numFmtId="1" fontId="49" fillId="0" borderId="52" xfId="0" applyNumberFormat="1" applyFont="1" applyBorder="1"/>
    <xf numFmtId="1" fontId="49" fillId="0" borderId="20" xfId="0" applyNumberFormat="1" applyFont="1" applyBorder="1" applyAlignment="1">
      <alignment horizontal="left"/>
    </xf>
    <xf numFmtId="40" fontId="49" fillId="0" borderId="20" xfId="7" applyNumberFormat="1" applyFont="1" applyBorder="1" applyAlignment="1">
      <alignment horizontal="right"/>
    </xf>
    <xf numFmtId="40" fontId="49" fillId="0" borderId="52" xfId="7" applyNumberFormat="1" applyFont="1" applyBorder="1"/>
    <xf numFmtId="40" fontId="49" fillId="0" borderId="20" xfId="7" applyNumberFormat="1" applyFont="1" applyBorder="1" applyAlignment="1">
      <alignment horizontal="left"/>
    </xf>
    <xf numFmtId="0" fontId="35" fillId="0" borderId="20" xfId="0" applyFont="1" applyBorder="1"/>
    <xf numFmtId="0" fontId="49" fillId="0" borderId="54" xfId="0" applyFont="1" applyBorder="1"/>
    <xf numFmtId="0" fontId="49" fillId="0" borderId="55" xfId="0" applyFont="1" applyBorder="1" applyAlignment="1">
      <alignment horizontal="left"/>
    </xf>
    <xf numFmtId="0" fontId="49" fillId="0" borderId="55" xfId="0" applyFont="1" applyBorder="1"/>
    <xf numFmtId="40" fontId="49" fillId="0" borderId="55" xfId="7" applyNumberFormat="1" applyFont="1" applyBorder="1"/>
    <xf numFmtId="0" fontId="35" fillId="0" borderId="55" xfId="0" applyFont="1" applyBorder="1"/>
    <xf numFmtId="43" fontId="0" fillId="0" borderId="0" xfId="0" applyNumberFormat="1"/>
    <xf numFmtId="40" fontId="0" fillId="0" borderId="0" xfId="0" applyNumberFormat="1"/>
    <xf numFmtId="175" fontId="0" fillId="0" borderId="0" xfId="0" applyNumberFormat="1" applyAlignment="1">
      <alignment horizontal="right"/>
    </xf>
    <xf numFmtId="40" fontId="46" fillId="0" borderId="0" xfId="0" applyNumberFormat="1" applyFont="1"/>
    <xf numFmtId="43" fontId="0" fillId="0" borderId="0" xfId="7" applyNumberFormat="1" applyFont="1"/>
    <xf numFmtId="43" fontId="0" fillId="0" borderId="20" xfId="7" applyNumberFormat="1" applyFont="1" applyBorder="1"/>
    <xf numFmtId="176" fontId="50" fillId="0" borderId="20" xfId="7" applyNumberFormat="1" applyFont="1" applyBorder="1"/>
    <xf numFmtId="0" fontId="51" fillId="0" borderId="0" xfId="0" applyFont="1"/>
    <xf numFmtId="0" fontId="40" fillId="0" borderId="0" xfId="1" applyFont="1" applyAlignment="1">
      <alignment horizontal="left"/>
    </xf>
    <xf numFmtId="0" fontId="40" fillId="0" borderId="28" xfId="1" applyFont="1" applyBorder="1" applyAlignment="1">
      <alignment horizontal="center" vertical="center"/>
    </xf>
    <xf numFmtId="0" fontId="40" fillId="0" borderId="29" xfId="1" applyFont="1" applyBorder="1" applyAlignment="1">
      <alignment horizontal="left" vertical="center"/>
    </xf>
    <xf numFmtId="0" fontId="41" fillId="0" borderId="29" xfId="1" applyFont="1" applyBorder="1" applyAlignment="1">
      <alignment horizontal="left" vertical="center"/>
    </xf>
    <xf numFmtId="0" fontId="41" fillId="0" borderId="30" xfId="1" applyFont="1" applyBorder="1" applyAlignment="1">
      <alignment horizontal="left" vertical="center"/>
    </xf>
    <xf numFmtId="0" fontId="40" fillId="0" borderId="1" xfId="1" applyFont="1" applyBorder="1" applyAlignment="1">
      <alignment horizontal="center" vertical="center"/>
    </xf>
    <xf numFmtId="0" fontId="41" fillId="0" borderId="0" xfId="1" applyFont="1" applyAlignment="1">
      <alignment horizontal="left" vertical="center" wrapText="1"/>
    </xf>
    <xf numFmtId="0" fontId="41" fillId="0" borderId="0" xfId="1" applyFont="1" applyAlignment="1">
      <alignment horizontal="center" vertical="center"/>
    </xf>
    <xf numFmtId="0" fontId="40" fillId="0" borderId="0" xfId="1" applyFont="1" applyAlignment="1">
      <alignment horizontal="left" vertical="center"/>
    </xf>
    <xf numFmtId="0" fontId="40" fillId="0" borderId="2" xfId="1" applyFont="1" applyBorder="1" applyAlignment="1">
      <alignment horizontal="left" vertical="center"/>
    </xf>
    <xf numFmtId="0" fontId="40" fillId="0" borderId="45" xfId="1" applyFont="1" applyBorder="1" applyAlignment="1">
      <alignment horizontal="center" vertical="center"/>
    </xf>
    <xf numFmtId="0" fontId="40" fillId="0" borderId="3" xfId="1" applyFont="1" applyBorder="1" applyAlignment="1">
      <alignment horizontal="left" vertical="center"/>
    </xf>
    <xf numFmtId="0" fontId="41" fillId="0" borderId="3" xfId="1" applyFont="1" applyBorder="1" applyAlignment="1">
      <alignment horizontal="center" vertical="center"/>
    </xf>
    <xf numFmtId="0" fontId="41" fillId="0" borderId="3" xfId="1" applyFont="1" applyBorder="1" applyAlignment="1">
      <alignment horizontal="left" vertical="center"/>
    </xf>
    <xf numFmtId="0" fontId="40" fillId="0" borderId="4" xfId="1" applyFont="1" applyBorder="1" applyAlignment="1">
      <alignment horizontal="left" vertical="center"/>
    </xf>
    <xf numFmtId="0" fontId="40" fillId="0" borderId="0" xfId="1" applyFont="1" applyAlignment="1">
      <alignment horizontal="center" vertical="center"/>
    </xf>
    <xf numFmtId="43" fontId="40" fillId="0" borderId="5" xfId="1" applyNumberFormat="1" applyFont="1" applyBorder="1" applyAlignment="1">
      <alignment horizontal="center" vertical="center"/>
    </xf>
    <xf numFmtId="0" fontId="40" fillId="0" borderId="0" xfId="1" applyFont="1" applyAlignment="1">
      <alignment horizontal="left" vertical="center" wrapText="1"/>
    </xf>
    <xf numFmtId="43" fontId="40" fillId="0" borderId="0" xfId="1" applyNumberFormat="1" applyFont="1" applyAlignment="1">
      <alignment horizontal="center" vertical="center"/>
    </xf>
    <xf numFmtId="0" fontId="41" fillId="0" borderId="0" xfId="1" applyFont="1" applyAlignment="1">
      <alignment horizontal="left" vertical="center"/>
    </xf>
    <xf numFmtId="0" fontId="28" fillId="0" borderId="28" xfId="1" applyFont="1" applyBorder="1" applyAlignment="1">
      <alignment horizontal="center"/>
    </xf>
    <xf numFmtId="0" fontId="28" fillId="0" borderId="29" xfId="1" applyFont="1" applyBorder="1"/>
    <xf numFmtId="0" fontId="28" fillId="0" borderId="30" xfId="1" applyFont="1" applyBorder="1"/>
    <xf numFmtId="0" fontId="28" fillId="0" borderId="1" xfId="1" applyFont="1" applyBorder="1" applyAlignment="1">
      <alignment horizontal="center"/>
    </xf>
    <xf numFmtId="0" fontId="28" fillId="0" borderId="2" xfId="1" applyFont="1" applyBorder="1"/>
    <xf numFmtId="0" fontId="0" fillId="0" borderId="1" xfId="0" applyBorder="1"/>
    <xf numFmtId="0" fontId="28" fillId="0" borderId="28" xfId="1" applyFont="1" applyBorder="1"/>
    <xf numFmtId="0" fontId="14" fillId="0" borderId="29" xfId="1" applyFont="1" applyBorder="1" applyAlignment="1">
      <alignment horizontal="right"/>
    </xf>
    <xf numFmtId="0" fontId="52" fillId="0" borderId="29" xfId="1" applyFont="1" applyBorder="1" applyAlignment="1">
      <alignment horizontal="center"/>
    </xf>
    <xf numFmtId="0" fontId="15" fillId="0" borderId="30" xfId="1" applyFont="1" applyBorder="1"/>
    <xf numFmtId="0" fontId="14" fillId="0" borderId="45" xfId="1" applyFont="1" applyBorder="1"/>
    <xf numFmtId="0" fontId="14" fillId="0" borderId="3" xfId="1" applyFont="1" applyBorder="1"/>
    <xf numFmtId="0" fontId="14" fillId="0" borderId="3" xfId="1" applyFont="1" applyBorder="1" applyAlignment="1">
      <alignment horizontal="center"/>
    </xf>
    <xf numFmtId="0" fontId="14" fillId="0" borderId="4" xfId="1" applyFont="1" applyBorder="1"/>
    <xf numFmtId="0" fontId="28" fillId="0" borderId="45" xfId="1" applyFont="1" applyBorder="1" applyAlignment="1">
      <alignment horizontal="center"/>
    </xf>
    <xf numFmtId="0" fontId="28" fillId="0" borderId="3" xfId="1" applyFont="1" applyBorder="1"/>
    <xf numFmtId="0" fontId="28" fillId="0" borderId="4" xfId="1" applyFont="1" applyBorder="1"/>
    <xf numFmtId="0" fontId="28" fillId="0" borderId="45" xfId="1" applyFont="1" applyBorder="1"/>
    <xf numFmtId="0" fontId="0" fillId="0" borderId="29" xfId="0" applyBorder="1"/>
    <xf numFmtId="0" fontId="0" fillId="0" borderId="30" xfId="0" applyBorder="1"/>
    <xf numFmtId="0" fontId="0" fillId="0" borderId="2" xfId="0" applyBorder="1"/>
    <xf numFmtId="164" fontId="28" fillId="0" borderId="0" xfId="1" applyNumberFormat="1" applyFont="1"/>
    <xf numFmtId="2" fontId="28" fillId="0" borderId="0" xfId="1" applyNumberFormat="1" applyFont="1"/>
    <xf numFmtId="43" fontId="27" fillId="5" borderId="5" xfId="1" applyNumberFormat="1" applyFont="1" applyFill="1" applyBorder="1"/>
    <xf numFmtId="0" fontId="27" fillId="0" borderId="3" xfId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2" fillId="0" borderId="35" xfId="0" applyFont="1" applyBorder="1" applyAlignment="1">
      <alignment horizontal="center" vertical="center"/>
    </xf>
    <xf numFmtId="4" fontId="12" fillId="3" borderId="71" xfId="0" applyNumberFormat="1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3" xfId="0" applyFont="1" applyBorder="1" applyAlignment="1">
      <alignment horizontal="justify" vertical="center"/>
    </xf>
    <xf numFmtId="4" fontId="32" fillId="3" borderId="7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justify" vertical="center"/>
    </xf>
    <xf numFmtId="4" fontId="11" fillId="3" borderId="71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justify" vertical="center"/>
    </xf>
    <xf numFmtId="0" fontId="11" fillId="3" borderId="13" xfId="0" applyFont="1" applyFill="1" applyBorder="1" applyAlignment="1">
      <alignment vertical="center"/>
    </xf>
    <xf numFmtId="4" fontId="12" fillId="3" borderId="13" xfId="0" applyNumberFormat="1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justify" vertical="center"/>
    </xf>
    <xf numFmtId="0" fontId="12" fillId="3" borderId="35" xfId="0" applyFont="1" applyFill="1" applyBorder="1" applyAlignment="1">
      <alignment horizontal="center" vertical="center"/>
    </xf>
    <xf numFmtId="4" fontId="11" fillId="0" borderId="71" xfId="0" applyNumberFormat="1" applyFont="1" applyBorder="1" applyAlignment="1">
      <alignment horizontal="center" vertical="center"/>
    </xf>
    <xf numFmtId="4" fontId="32" fillId="0" borderId="71" xfId="0" applyNumberFormat="1" applyFont="1" applyBorder="1" applyAlignment="1">
      <alignment horizontal="center" vertical="center"/>
    </xf>
    <xf numFmtId="2" fontId="32" fillId="3" borderId="13" xfId="0" applyNumberFormat="1" applyFont="1" applyFill="1" applyBorder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5" fillId="0" borderId="1" xfId="2" applyFont="1" applyBorder="1"/>
    <xf numFmtId="0" fontId="5" fillId="0" borderId="45" xfId="2" applyFont="1" applyBorder="1"/>
    <xf numFmtId="0" fontId="10" fillId="0" borderId="3" xfId="2" applyFont="1" applyBorder="1" applyAlignment="1">
      <alignment horizontal="right"/>
    </xf>
    <xf numFmtId="0" fontId="10" fillId="0" borderId="55" xfId="2" applyFont="1" applyBorder="1" applyAlignment="1">
      <alignment horizontal="right"/>
    </xf>
    <xf numFmtId="4" fontId="10" fillId="0" borderId="3" xfId="2" applyNumberFormat="1" applyFont="1" applyBorder="1" applyAlignment="1">
      <alignment horizontal="left"/>
    </xf>
    <xf numFmtId="0" fontId="2" fillId="0" borderId="3" xfId="2" applyBorder="1"/>
    <xf numFmtId="0" fontId="0" fillId="0" borderId="8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82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164" fontId="37" fillId="5" borderId="27" xfId="9" applyFont="1" applyFill="1" applyBorder="1" applyAlignment="1">
      <alignment vertical="center"/>
    </xf>
    <xf numFmtId="0" fontId="0" fillId="0" borderId="27" xfId="0" quotePrefix="1" applyBorder="1" applyAlignment="1">
      <alignment horizontal="center" vertical="center"/>
    </xf>
    <xf numFmtId="2" fontId="37" fillId="0" borderId="27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164" fontId="37" fillId="0" borderId="25" xfId="9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quotePrefix="1" applyBorder="1" applyAlignment="1">
      <alignment horizontal="center" vertical="center"/>
    </xf>
    <xf numFmtId="2" fontId="37" fillId="0" borderId="25" xfId="0" applyNumberFormat="1" applyFont="1" applyBorder="1" applyAlignment="1">
      <alignment vertical="center"/>
    </xf>
    <xf numFmtId="164" fontId="0" fillId="0" borderId="27" xfId="9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2" fontId="29" fillId="0" borderId="21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25" xfId="0" applyNumberFormat="1" applyBorder="1" applyAlignment="1">
      <alignment vertical="center"/>
    </xf>
    <xf numFmtId="0" fontId="0" fillId="0" borderId="83" xfId="0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8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68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0" fillId="3" borderId="25" xfId="0" applyFill="1" applyBorder="1" applyAlignment="1">
      <alignment vertical="center"/>
    </xf>
    <xf numFmtId="164" fontId="0" fillId="3" borderId="25" xfId="9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2" fontId="0" fillId="0" borderId="25" xfId="0" applyNumberFormat="1" applyBorder="1" applyAlignment="1">
      <alignment horizontal="center" vertical="center"/>
    </xf>
    <xf numFmtId="2" fontId="0" fillId="3" borderId="25" xfId="0" applyNumberFormat="1" applyFill="1" applyBorder="1" applyAlignment="1">
      <alignment vertical="center"/>
    </xf>
    <xf numFmtId="164" fontId="0" fillId="0" borderId="25" xfId="9" applyFont="1" applyBorder="1" applyAlignment="1">
      <alignment horizontal="center" vertical="center"/>
    </xf>
    <xf numFmtId="2" fontId="0" fillId="0" borderId="25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7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164" fontId="0" fillId="0" borderId="0" xfId="9" applyFont="1" applyAlignment="1">
      <alignment horizontal="center" vertical="center"/>
    </xf>
    <xf numFmtId="2" fontId="0" fillId="3" borderId="0" xfId="0" applyNumberFormat="1" applyFill="1" applyAlignment="1">
      <alignment vertical="center"/>
    </xf>
    <xf numFmtId="0" fontId="37" fillId="0" borderId="82" xfId="0" applyFont="1" applyBorder="1" applyAlignment="1">
      <alignment vertical="center"/>
    </xf>
    <xf numFmtId="4" fontId="37" fillId="0" borderId="25" xfId="0" applyNumberFormat="1" applyFon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3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7" fillId="0" borderId="84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164" fontId="38" fillId="0" borderId="70" xfId="9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2" fontId="32" fillId="0" borderId="20" xfId="0" applyNumberFormat="1" applyFont="1" applyBorder="1" applyAlignment="1">
      <alignment horizontal="right" vertical="center" wrapText="1"/>
    </xf>
    <xf numFmtId="0" fontId="32" fillId="0" borderId="53" xfId="0" applyFont="1" applyBorder="1" applyAlignment="1">
      <alignment horizontal="center" vertical="center"/>
    </xf>
    <xf numFmtId="2" fontId="29" fillId="0" borderId="0" xfId="0" applyNumberFormat="1" applyFont="1" applyAlignment="1">
      <alignment vertical="center"/>
    </xf>
    <xf numFmtId="164" fontId="32" fillId="0" borderId="20" xfId="0" applyNumberFormat="1" applyFont="1" applyBorder="1" applyAlignment="1">
      <alignment horizontal="right" vertical="center" wrapText="1"/>
    </xf>
    <xf numFmtId="164" fontId="29" fillId="0" borderId="0" xfId="0" applyNumberFormat="1" applyFont="1" applyAlignment="1">
      <alignment vertical="center"/>
    </xf>
    <xf numFmtId="0" fontId="32" fillId="0" borderId="55" xfId="0" applyFont="1" applyBorder="1" applyAlignment="1">
      <alignment horizontal="center" vertical="center"/>
    </xf>
    <xf numFmtId="164" fontId="32" fillId="0" borderId="55" xfId="0" applyNumberFormat="1" applyFont="1" applyBorder="1" applyAlignment="1">
      <alignment horizontal="right" vertical="center" wrapText="1"/>
    </xf>
    <xf numFmtId="0" fontId="32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3" borderId="13" xfId="1" applyFont="1" applyFill="1" applyBorder="1" applyAlignment="1">
      <alignment vertical="center"/>
    </xf>
    <xf numFmtId="173" fontId="41" fillId="3" borderId="13" xfId="1" applyNumberFormat="1" applyFont="1" applyFill="1" applyBorder="1" applyAlignment="1">
      <alignment vertical="center"/>
    </xf>
    <xf numFmtId="174" fontId="41" fillId="3" borderId="13" xfId="1" applyNumberFormat="1" applyFont="1" applyFill="1" applyBorder="1" applyAlignment="1">
      <alignment vertical="center"/>
    </xf>
    <xf numFmtId="170" fontId="41" fillId="3" borderId="13" xfId="1" applyNumberFormat="1" applyFont="1" applyFill="1" applyBorder="1" applyAlignment="1">
      <alignment vertical="center"/>
    </xf>
    <xf numFmtId="174" fontId="41" fillId="0" borderId="13" xfId="1" applyNumberFormat="1" applyFont="1" applyBorder="1" applyAlignment="1">
      <alignment vertical="center"/>
    </xf>
    <xf numFmtId="10" fontId="40" fillId="3" borderId="13" xfId="1" applyNumberFormat="1" applyFont="1" applyFill="1" applyBorder="1" applyAlignment="1">
      <alignment vertical="center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0" fillId="3" borderId="33" xfId="1" applyFont="1" applyFill="1" applyBorder="1" applyAlignment="1">
      <alignment horizontal="center" vertical="center"/>
    </xf>
    <xf numFmtId="0" fontId="40" fillId="3" borderId="75" xfId="1" applyFont="1" applyFill="1" applyBorder="1" applyAlignment="1">
      <alignment horizontal="center" vertical="center"/>
    </xf>
    <xf numFmtId="4" fontId="40" fillId="3" borderId="75" xfId="1" applyNumberFormat="1" applyFont="1" applyFill="1" applyBorder="1" applyAlignment="1">
      <alignment horizontal="center" vertical="center"/>
    </xf>
    <xf numFmtId="0" fontId="40" fillId="3" borderId="76" xfId="1" applyFont="1" applyFill="1" applyBorder="1" applyAlignment="1">
      <alignment horizontal="center" vertical="center"/>
    </xf>
    <xf numFmtId="0" fontId="13" fillId="3" borderId="35" xfId="1" applyFont="1" applyFill="1" applyBorder="1" applyAlignment="1">
      <alignment horizontal="center" vertical="center"/>
    </xf>
    <xf numFmtId="174" fontId="41" fillId="3" borderId="71" xfId="1" applyNumberFormat="1" applyFont="1" applyFill="1" applyBorder="1" applyAlignment="1">
      <alignment vertical="center"/>
    </xf>
    <xf numFmtId="0" fontId="40" fillId="3" borderId="72" xfId="1" applyFont="1" applyFill="1" applyBorder="1" applyAlignment="1">
      <alignment horizontal="center" vertical="center"/>
    </xf>
    <xf numFmtId="0" fontId="40" fillId="3" borderId="73" xfId="1" applyFont="1" applyFill="1" applyBorder="1" applyAlignment="1">
      <alignment vertical="center"/>
    </xf>
    <xf numFmtId="4" fontId="40" fillId="3" borderId="73" xfId="1" applyNumberFormat="1" applyFont="1" applyFill="1" applyBorder="1" applyAlignment="1">
      <alignment vertical="center"/>
    </xf>
    <xf numFmtId="174" fontId="40" fillId="3" borderId="74" xfId="1" applyNumberFormat="1" applyFont="1" applyFill="1" applyBorder="1" applyAlignment="1">
      <alignment vertical="center"/>
    </xf>
    <xf numFmtId="0" fontId="40" fillId="3" borderId="14" xfId="1" applyFont="1" applyFill="1" applyBorder="1" applyAlignment="1">
      <alignment horizontal="center" vertical="center"/>
    </xf>
    <xf numFmtId="0" fontId="40" fillId="3" borderId="14" xfId="1" applyFont="1" applyFill="1" applyBorder="1" applyAlignment="1">
      <alignment vertical="center"/>
    </xf>
    <xf numFmtId="0" fontId="40" fillId="3" borderId="75" xfId="1" applyFont="1" applyFill="1" applyBorder="1" applyAlignment="1">
      <alignment vertical="center"/>
    </xf>
    <xf numFmtId="4" fontId="40" fillId="3" borderId="75" xfId="1" applyNumberFormat="1" applyFont="1" applyFill="1" applyBorder="1" applyAlignment="1">
      <alignment vertical="center"/>
    </xf>
    <xf numFmtId="0" fontId="40" fillId="3" borderId="76" xfId="1" applyFont="1" applyFill="1" applyBorder="1" applyAlignment="1">
      <alignment vertical="center"/>
    </xf>
    <xf numFmtId="0" fontId="41" fillId="0" borderId="35" xfId="1" applyFont="1" applyBorder="1" applyAlignment="1">
      <alignment horizontal="center" vertical="center" wrapText="1"/>
    </xf>
    <xf numFmtId="0" fontId="40" fillId="3" borderId="46" xfId="1" applyFont="1" applyFill="1" applyBorder="1" applyAlignment="1">
      <alignment vertical="center"/>
    </xf>
    <xf numFmtId="0" fontId="40" fillId="3" borderId="87" xfId="1" applyFont="1" applyFill="1" applyBorder="1" applyAlignment="1">
      <alignment horizontal="center" vertical="center"/>
    </xf>
    <xf numFmtId="0" fontId="40" fillId="3" borderId="88" xfId="1" applyFont="1" applyFill="1" applyBorder="1" applyAlignment="1">
      <alignment vertical="center"/>
    </xf>
    <xf numFmtId="174" fontId="40" fillId="3" borderId="89" xfId="1" applyNumberFormat="1" applyFont="1" applyFill="1" applyBorder="1" applyAlignment="1">
      <alignment vertical="center"/>
    </xf>
    <xf numFmtId="0" fontId="40" fillId="3" borderId="78" xfId="1" applyFont="1" applyFill="1" applyBorder="1" applyAlignment="1">
      <alignment horizontal="center" vertical="center"/>
    </xf>
    <xf numFmtId="174" fontId="40" fillId="3" borderId="77" xfId="1" applyNumberFormat="1" applyFont="1" applyFill="1" applyBorder="1" applyAlignment="1">
      <alignment vertical="center"/>
    </xf>
    <xf numFmtId="0" fontId="40" fillId="3" borderId="35" xfId="1" applyFont="1" applyFill="1" applyBorder="1" applyAlignment="1">
      <alignment horizontal="center" vertical="center"/>
    </xf>
    <xf numFmtId="174" fontId="40" fillId="3" borderId="71" xfId="1" applyNumberFormat="1" applyFont="1" applyFill="1" applyBorder="1" applyAlignment="1">
      <alignment vertical="center"/>
    </xf>
    <xf numFmtId="0" fontId="40" fillId="3" borderId="73" xfId="1" applyFont="1" applyFill="1" applyBorder="1" applyAlignment="1">
      <alignment horizontal="center" vertical="center"/>
    </xf>
    <xf numFmtId="0" fontId="41" fillId="3" borderId="35" xfId="1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40" fillId="3" borderId="39" xfId="1" applyFont="1" applyFill="1" applyBorder="1" applyAlignment="1">
      <alignment horizontal="center" vertical="center"/>
    </xf>
    <xf numFmtId="174" fontId="40" fillId="3" borderId="90" xfId="1" applyNumberFormat="1" applyFont="1" applyFill="1" applyBorder="1" applyAlignment="1">
      <alignment vertical="center"/>
    </xf>
    <xf numFmtId="0" fontId="40" fillId="3" borderId="46" xfId="1" applyFont="1" applyFill="1" applyBorder="1" applyAlignment="1">
      <alignment horizontal="center" vertical="center"/>
    </xf>
    <xf numFmtId="0" fontId="40" fillId="3" borderId="88" xfId="1" applyFont="1" applyFill="1" applyBorder="1" applyAlignment="1">
      <alignment horizontal="center" vertical="center"/>
    </xf>
    <xf numFmtId="0" fontId="40" fillId="3" borderId="77" xfId="1" applyFont="1" applyFill="1" applyBorder="1" applyAlignment="1">
      <alignment horizontal="center" vertical="center"/>
    </xf>
    <xf numFmtId="0" fontId="27" fillId="0" borderId="91" xfId="1" applyFont="1" applyBorder="1" applyAlignment="1">
      <alignment horizontal="left" vertical="center"/>
    </xf>
    <xf numFmtId="0" fontId="5" fillId="0" borderId="0" xfId="2" applyFont="1" applyAlignment="1">
      <alignment vertical="center"/>
    </xf>
    <xf numFmtId="4" fontId="34" fillId="0" borderId="13" xfId="2" applyNumberFormat="1" applyFont="1" applyBorder="1" applyAlignment="1">
      <alignment horizontal="left" vertical="center"/>
    </xf>
    <xf numFmtId="4" fontId="36" fillId="0" borderId="13" xfId="2" applyNumberFormat="1" applyFont="1" applyBorder="1" applyAlignment="1">
      <alignment vertical="center"/>
    </xf>
    <xf numFmtId="0" fontId="36" fillId="0" borderId="13" xfId="2" applyFont="1" applyBorder="1" applyAlignment="1">
      <alignment horizontal="center" vertical="center"/>
    </xf>
    <xf numFmtId="4" fontId="5" fillId="0" borderId="0" xfId="2" applyNumberFormat="1" applyFont="1" applyAlignment="1">
      <alignment vertical="center"/>
    </xf>
    <xf numFmtId="4" fontId="10" fillId="0" borderId="13" xfId="2" applyNumberFormat="1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5" fillId="0" borderId="35" xfId="2" applyFont="1" applyBorder="1" applyAlignment="1">
      <alignment horizontal="center" vertical="center"/>
    </xf>
    <xf numFmtId="0" fontId="36" fillId="0" borderId="71" xfId="2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0" fontId="11" fillId="0" borderId="0" xfId="6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164" fontId="44" fillId="0" borderId="0" xfId="7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0" fontId="32" fillId="0" borderId="0" xfId="0" applyNumberFormat="1" applyFont="1" applyAlignment="1">
      <alignment horizontal="center" vertical="center"/>
    </xf>
    <xf numFmtId="4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3" fillId="0" borderId="0" xfId="2" applyFont="1" applyAlignment="1">
      <alignment horizontal="center" vertical="center"/>
    </xf>
    <xf numFmtId="4" fontId="23" fillId="0" borderId="0" xfId="2" applyNumberFormat="1" applyFont="1" applyAlignment="1">
      <alignment horizontal="center" vertical="center"/>
    </xf>
    <xf numFmtId="4" fontId="23" fillId="0" borderId="0" xfId="2" applyNumberFormat="1" applyFont="1" applyAlignment="1">
      <alignment vertical="center"/>
    </xf>
    <xf numFmtId="164" fontId="2" fillId="3" borderId="47" xfId="8" applyFill="1" applyBorder="1" applyAlignment="1">
      <alignment horizontal="center" vertical="center" wrapText="1"/>
    </xf>
    <xf numFmtId="181" fontId="2" fillId="3" borderId="94" xfId="2" applyNumberFormat="1" applyFill="1" applyBorder="1" applyAlignment="1">
      <alignment vertical="center"/>
    </xf>
    <xf numFmtId="181" fontId="2" fillId="3" borderId="20" xfId="2" applyNumberFormat="1" applyFill="1" applyBorder="1" applyAlignment="1">
      <alignment vertical="center"/>
    </xf>
    <xf numFmtId="0" fontId="3" fillId="3" borderId="69" xfId="2" applyFont="1" applyFill="1" applyBorder="1" applyAlignment="1">
      <alignment vertical="center"/>
    </xf>
    <xf numFmtId="0" fontId="3" fillId="3" borderId="70" xfId="2" applyFont="1" applyFill="1" applyBorder="1" applyAlignment="1">
      <alignment vertical="center"/>
    </xf>
    <xf numFmtId="180" fontId="3" fillId="3" borderId="70" xfId="2" applyNumberFormat="1" applyFont="1" applyFill="1" applyBorder="1" applyAlignment="1">
      <alignment vertical="center"/>
    </xf>
    <xf numFmtId="0" fontId="3" fillId="3" borderId="70" xfId="2" applyFont="1" applyFill="1" applyBorder="1" applyAlignment="1">
      <alignment horizontal="right" vertical="center"/>
    </xf>
    <xf numFmtId="0" fontId="2" fillId="0" borderId="0" xfId="2" applyAlignment="1">
      <alignment vertical="center"/>
    </xf>
    <xf numFmtId="4" fontId="2" fillId="0" borderId="0" xfId="2" applyNumberFormat="1" applyAlignment="1">
      <alignment vertical="center"/>
    </xf>
    <xf numFmtId="0" fontId="53" fillId="0" borderId="0" xfId="4" applyFont="1" applyAlignment="1">
      <alignment horizontal="center" vertical="center"/>
    </xf>
    <xf numFmtId="0" fontId="54" fillId="0" borderId="0" xfId="4" applyFont="1" applyAlignment="1">
      <alignment horizontal="center" vertical="center"/>
    </xf>
    <xf numFmtId="0" fontId="2" fillId="3" borderId="0" xfId="2" applyFill="1" applyAlignment="1">
      <alignment vertical="center"/>
    </xf>
    <xf numFmtId="0" fontId="4" fillId="3" borderId="25" xfId="2" applyFont="1" applyFill="1" applyBorder="1" applyAlignment="1">
      <alignment vertical="center"/>
    </xf>
    <xf numFmtId="177" fontId="2" fillId="3" borderId="20" xfId="2" applyNumberFormat="1" applyFill="1" applyBorder="1" applyAlignment="1">
      <alignment vertical="center"/>
    </xf>
    <xf numFmtId="164" fontId="0" fillId="3" borderId="0" xfId="11" applyFont="1" applyFill="1" applyAlignment="1">
      <alignment vertical="center"/>
    </xf>
    <xf numFmtId="178" fontId="2" fillId="3" borderId="20" xfId="2" applyNumberFormat="1" applyFill="1" applyBorder="1" applyAlignment="1">
      <alignment horizontal="center" vertical="center"/>
    </xf>
    <xf numFmtId="0" fontId="2" fillId="3" borderId="20" xfId="2" applyFill="1" applyBorder="1" applyAlignment="1">
      <alignment horizontal="center" vertical="center"/>
    </xf>
    <xf numFmtId="177" fontId="55" fillId="3" borderId="20" xfId="2" applyNumberFormat="1" applyFont="1" applyFill="1" applyBorder="1" applyAlignment="1">
      <alignment horizontal="center" vertical="center"/>
    </xf>
    <xf numFmtId="180" fontId="17" fillId="3" borderId="12" xfId="2" applyNumberFormat="1" applyFont="1" applyFill="1" applyBorder="1" applyAlignment="1">
      <alignment vertical="center"/>
    </xf>
    <xf numFmtId="180" fontId="17" fillId="3" borderId="11" xfId="2" applyNumberFormat="1" applyFont="1" applyFill="1" applyBorder="1" applyAlignment="1">
      <alignment vertical="center"/>
    </xf>
    <xf numFmtId="180" fontId="17" fillId="3" borderId="1" xfId="2" applyNumberFormat="1" applyFont="1" applyFill="1" applyBorder="1" applyAlignment="1">
      <alignment vertical="center"/>
    </xf>
    <xf numFmtId="180" fontId="17" fillId="3" borderId="0" xfId="2" applyNumberFormat="1" applyFont="1" applyFill="1" applyAlignment="1">
      <alignment vertical="center"/>
    </xf>
    <xf numFmtId="177" fontId="2" fillId="3" borderId="0" xfId="2" applyNumberFormat="1" applyFill="1" applyAlignment="1">
      <alignment horizontal="right" vertical="center"/>
    </xf>
    <xf numFmtId="0" fontId="2" fillId="3" borderId="1" xfId="2" applyFill="1" applyBorder="1" applyAlignment="1">
      <alignment vertical="center"/>
    </xf>
    <xf numFmtId="180" fontId="2" fillId="3" borderId="0" xfId="2" applyNumberFormat="1" applyFill="1" applyAlignment="1">
      <alignment vertical="center"/>
    </xf>
    <xf numFmtId="0" fontId="2" fillId="3" borderId="0" xfId="2" applyFill="1" applyAlignment="1">
      <alignment horizontal="right" vertical="center"/>
    </xf>
    <xf numFmtId="177" fontId="2" fillId="3" borderId="0" xfId="2" applyNumberFormat="1" applyFill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2" fillId="3" borderId="0" xfId="2" applyFill="1" applyAlignment="1">
      <alignment horizontal="center" vertical="center"/>
    </xf>
    <xf numFmtId="0" fontId="53" fillId="0" borderId="0" xfId="12" applyFont="1" applyAlignment="1">
      <alignment horizontal="center" vertical="center"/>
    </xf>
    <xf numFmtId="0" fontId="54" fillId="0" borderId="0" xfId="12" applyFont="1" applyAlignment="1">
      <alignment horizontal="center" vertical="center"/>
    </xf>
    <xf numFmtId="0" fontId="23" fillId="0" borderId="0" xfId="4" applyFont="1" applyAlignment="1">
      <alignment vertical="center"/>
    </xf>
    <xf numFmtId="0" fontId="2" fillId="0" borderId="0" xfId="2" applyAlignment="1">
      <alignment horizontal="center" vertical="center"/>
    </xf>
    <xf numFmtId="0" fontId="13" fillId="0" borderId="0" xfId="4" applyFont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41" fillId="0" borderId="13" xfId="1" applyFont="1" applyBorder="1" applyAlignment="1">
      <alignment horizontal="left" vertical="center" wrapText="1" shrinkToFit="1"/>
    </xf>
    <xf numFmtId="0" fontId="41" fillId="0" borderId="13" xfId="1" applyFont="1" applyBorder="1" applyAlignment="1">
      <alignment horizontal="center" vertical="center"/>
    </xf>
    <xf numFmtId="173" fontId="41" fillId="0" borderId="13" xfId="1" applyNumberFormat="1" applyFont="1" applyBorder="1" applyAlignment="1">
      <alignment horizontal="right" vertical="center"/>
    </xf>
    <xf numFmtId="0" fontId="4" fillId="3" borderId="0" xfId="2" applyFont="1" applyFill="1" applyAlignment="1">
      <alignment horizontal="center" vertical="center"/>
    </xf>
    <xf numFmtId="0" fontId="41" fillId="3" borderId="13" xfId="1" applyFont="1" applyFill="1" applyBorder="1" applyAlignment="1">
      <alignment vertical="center" wrapText="1" shrinkToFit="1"/>
    </xf>
    <xf numFmtId="4" fontId="40" fillId="3" borderId="13" xfId="1" applyNumberFormat="1" applyFont="1" applyFill="1" applyBorder="1" applyAlignment="1">
      <alignment vertical="center"/>
    </xf>
    <xf numFmtId="0" fontId="41" fillId="3" borderId="13" xfId="1" applyFont="1" applyFill="1" applyBorder="1" applyAlignment="1">
      <alignment vertical="center"/>
    </xf>
    <xf numFmtId="4" fontId="41" fillId="3" borderId="13" xfId="1" applyNumberFormat="1" applyFont="1" applyFill="1" applyBorder="1" applyAlignment="1">
      <alignment vertical="center"/>
    </xf>
    <xf numFmtId="4" fontId="40" fillId="3" borderId="13" xfId="1" applyNumberFormat="1" applyFont="1" applyFill="1" applyBorder="1" applyAlignment="1">
      <alignment horizontal="center" vertical="center"/>
    </xf>
    <xf numFmtId="0" fontId="41" fillId="0" borderId="13" xfId="1" applyFont="1" applyBorder="1" applyAlignment="1">
      <alignment vertical="center" wrapText="1" shrinkToFit="1"/>
    </xf>
    <xf numFmtId="173" fontId="41" fillId="0" borderId="13" xfId="1" applyNumberFormat="1" applyFont="1" applyBorder="1" applyAlignment="1">
      <alignment vertical="center"/>
    </xf>
    <xf numFmtId="0" fontId="40" fillId="0" borderId="13" xfId="1" applyFont="1" applyBorder="1" applyAlignment="1">
      <alignment vertical="center"/>
    </xf>
    <xf numFmtId="182" fontId="41" fillId="3" borderId="13" xfId="1" applyNumberFormat="1" applyFont="1" applyFill="1" applyBorder="1" applyAlignment="1">
      <alignment vertical="center"/>
    </xf>
    <xf numFmtId="0" fontId="40" fillId="3" borderId="71" xfId="1" applyFont="1" applyFill="1" applyBorder="1" applyAlignment="1">
      <alignment horizontal="center" vertical="center"/>
    </xf>
    <xf numFmtId="0" fontId="41" fillId="3" borderId="71" xfId="1" applyFont="1" applyFill="1" applyBorder="1" applyAlignment="1">
      <alignment vertical="center"/>
    </xf>
    <xf numFmtId="0" fontId="40" fillId="3" borderId="71" xfId="1" applyFont="1" applyFill="1" applyBorder="1" applyAlignment="1">
      <alignment vertical="center"/>
    </xf>
    <xf numFmtId="174" fontId="41" fillId="0" borderId="71" xfId="1" applyNumberFormat="1" applyFont="1" applyBorder="1" applyAlignment="1">
      <alignment vertical="center"/>
    </xf>
    <xf numFmtId="0" fontId="40" fillId="0" borderId="35" xfId="1" applyFont="1" applyBorder="1" applyAlignment="1">
      <alignment horizontal="center" vertical="center"/>
    </xf>
    <xf numFmtId="174" fontId="40" fillId="0" borderId="71" xfId="1" applyNumberFormat="1" applyFont="1" applyBorder="1" applyAlignment="1">
      <alignment vertical="center"/>
    </xf>
    <xf numFmtId="173" fontId="2" fillId="0" borderId="0" xfId="2" applyNumberFormat="1" applyAlignment="1">
      <alignment vertical="center"/>
    </xf>
    <xf numFmtId="0" fontId="3" fillId="0" borderId="0" xfId="0" applyFont="1" applyAlignment="1">
      <alignment vertical="center"/>
    </xf>
    <xf numFmtId="0" fontId="33" fillId="0" borderId="59" xfId="0" applyFont="1" applyBorder="1" applyAlignment="1">
      <alignment horizontal="center"/>
    </xf>
    <xf numFmtId="4" fontId="32" fillId="0" borderId="53" xfId="0" applyNumberFormat="1" applyFont="1" applyBorder="1" applyAlignment="1">
      <alignment horizontal="center" vertical="center"/>
    </xf>
    <xf numFmtId="10" fontId="25" fillId="0" borderId="56" xfId="6" applyNumberFormat="1" applyFont="1" applyBorder="1"/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0" fontId="3" fillId="0" borderId="10" xfId="6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6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10" fontId="2" fillId="0" borderId="10" xfId="6" applyNumberFormat="1" applyBorder="1" applyAlignment="1">
      <alignment horizontal="center" vertical="center" wrapText="1"/>
    </xf>
    <xf numFmtId="4" fontId="2" fillId="0" borderId="8" xfId="0" applyNumberFormat="1" applyFont="1" applyBorder="1" applyAlignment="1">
      <alignment vertical="center"/>
    </xf>
    <xf numFmtId="10" fontId="3" fillId="0" borderId="8" xfId="6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8" fontId="3" fillId="0" borderId="11" xfId="6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9" fontId="3" fillId="0" borderId="5" xfId="6" applyFont="1" applyBorder="1" applyAlignment="1">
      <alignment horizontal="center" vertical="center"/>
    </xf>
    <xf numFmtId="4" fontId="3" fillId="0" borderId="24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68" fontId="3" fillId="0" borderId="5" xfId="6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8" fontId="3" fillId="0" borderId="0" xfId="6" applyNumberFormat="1" applyFont="1" applyAlignment="1">
      <alignment horizontal="center" vertical="center"/>
    </xf>
    <xf numFmtId="9" fontId="3" fillId="0" borderId="8" xfId="6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8" fontId="3" fillId="0" borderId="8" xfId="6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0" fillId="0" borderId="0" xfId="7" applyFont="1" applyAlignment="1">
      <alignment vertical="center"/>
    </xf>
    <xf numFmtId="164" fontId="8" fillId="0" borderId="32" xfId="8" applyFont="1" applyBorder="1" applyAlignment="1">
      <alignment horizontal="center" vertical="center"/>
    </xf>
    <xf numFmtId="164" fontId="11" fillId="0" borderId="0" xfId="7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8" fillId="0" borderId="2" xfId="1" applyFont="1" applyBorder="1" applyAlignment="1">
      <alignment vertical="center"/>
    </xf>
    <xf numFmtId="174" fontId="41" fillId="0" borderId="7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6" fillId="0" borderId="19" xfId="2" applyFont="1" applyBorder="1" applyAlignment="1">
      <alignment horizontal="center" vertical="center"/>
    </xf>
    <xf numFmtId="0" fontId="41" fillId="3" borderId="40" xfId="1" applyFont="1" applyFill="1" applyBorder="1" applyAlignment="1">
      <alignment horizontal="left" vertical="center" wrapText="1" shrinkToFit="1"/>
    </xf>
    <xf numFmtId="173" fontId="41" fillId="3" borderId="0" xfId="1" applyNumberFormat="1" applyFont="1" applyFill="1" applyAlignment="1">
      <alignment horizontal="right" vertical="center"/>
    </xf>
    <xf numFmtId="174" fontId="41" fillId="3" borderId="0" xfId="1" applyNumberFormat="1" applyFont="1" applyFill="1" applyAlignment="1">
      <alignment vertical="center"/>
    </xf>
    <xf numFmtId="174" fontId="41" fillId="3" borderId="0" xfId="1" applyNumberFormat="1" applyFont="1" applyFill="1" applyAlignment="1">
      <alignment horizontal="right" vertical="center"/>
    </xf>
    <xf numFmtId="0" fontId="32" fillId="3" borderId="20" xfId="1" applyFont="1" applyFill="1" applyBorder="1" applyAlignment="1">
      <alignment horizontal="left" vertical="center" wrapText="1" shrinkToFit="1"/>
    </xf>
    <xf numFmtId="0" fontId="32" fillId="3" borderId="20" xfId="1" applyFont="1" applyFill="1" applyBorder="1" applyAlignment="1">
      <alignment horizontal="center" vertical="center"/>
    </xf>
    <xf numFmtId="173" fontId="32" fillId="3" borderId="20" xfId="1" applyNumberFormat="1" applyFont="1" applyFill="1" applyBorder="1" applyAlignment="1">
      <alignment horizontal="right" vertical="center"/>
    </xf>
    <xf numFmtId="174" fontId="32" fillId="3" borderId="2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1" applyFont="1" applyAlignment="1">
      <alignment horizontal="center"/>
    </xf>
    <xf numFmtId="164" fontId="5" fillId="0" borderId="0" xfId="7" applyFont="1" applyAlignment="1">
      <alignment vertical="center"/>
    </xf>
    <xf numFmtId="2" fontId="11" fillId="0" borderId="20" xfId="2" applyNumberFormat="1" applyFont="1" applyBorder="1" applyAlignment="1">
      <alignment horizontal="center" vertical="center"/>
    </xf>
    <xf numFmtId="169" fontId="11" fillId="0" borderId="20" xfId="2" applyNumberFormat="1" applyFont="1" applyBorder="1" applyAlignment="1">
      <alignment horizontal="center" vertical="center"/>
    </xf>
    <xf numFmtId="2" fontId="32" fillId="0" borderId="20" xfId="2" applyNumberFormat="1" applyFont="1" applyBorder="1" applyAlignment="1">
      <alignment horizontal="center" vertical="center"/>
    </xf>
    <xf numFmtId="4" fontId="12" fillId="0" borderId="20" xfId="2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 vertical="center"/>
    </xf>
    <xf numFmtId="2" fontId="33" fillId="0" borderId="20" xfId="2" applyNumberFormat="1" applyFont="1" applyBorder="1" applyAlignment="1">
      <alignment horizontal="center" vertical="center"/>
    </xf>
    <xf numFmtId="4" fontId="12" fillId="0" borderId="53" xfId="2" applyNumberFormat="1" applyFont="1" applyBorder="1" applyAlignment="1">
      <alignment horizontal="center" vertical="center"/>
    </xf>
    <xf numFmtId="164" fontId="40" fillId="0" borderId="5" xfId="7" applyFont="1" applyBorder="1" applyAlignment="1">
      <alignment horizontal="left" vertical="center"/>
    </xf>
    <xf numFmtId="0" fontId="56" fillId="0" borderId="0" xfId="1" applyFont="1" applyAlignment="1">
      <alignment horizontal="center"/>
    </xf>
    <xf numFmtId="0" fontId="57" fillId="0" borderId="0" xfId="1" applyFont="1" applyAlignment="1">
      <alignment horizontal="center"/>
    </xf>
    <xf numFmtId="0" fontId="13" fillId="0" borderId="13" xfId="2" applyFont="1" applyBorder="1" applyAlignment="1">
      <alignment horizontal="center" vertical="center" wrapText="1"/>
    </xf>
    <xf numFmtId="0" fontId="41" fillId="3" borderId="0" xfId="1" applyFont="1" applyFill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2" xfId="2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4" fontId="36" fillId="0" borderId="13" xfId="2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1" fillId="0" borderId="20" xfId="2" applyFont="1" applyBorder="1" applyAlignment="1">
      <alignment horizontal="right" vertical="center"/>
    </xf>
    <xf numFmtId="0" fontId="11" fillId="0" borderId="54" xfId="2" applyFont="1" applyBorder="1" applyAlignment="1">
      <alignment vertical="center"/>
    </xf>
    <xf numFmtId="0" fontId="11" fillId="0" borderId="55" xfId="2" applyFont="1" applyBorder="1" applyAlignment="1">
      <alignment horizontal="right" vertical="center"/>
    </xf>
    <xf numFmtId="10" fontId="32" fillId="0" borderId="55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51" fillId="0" borderId="0" xfId="2" applyFont="1" applyAlignment="1">
      <alignment vertical="center"/>
    </xf>
    <xf numFmtId="164" fontId="1" fillId="3" borderId="47" xfId="8" applyFont="1" applyFill="1" applyBorder="1" applyAlignment="1">
      <alignment horizontal="center" vertical="center" wrapText="1"/>
    </xf>
    <xf numFmtId="0" fontId="11" fillId="0" borderId="20" xfId="2" applyFont="1" applyBorder="1" applyAlignment="1">
      <alignment vertical="center"/>
    </xf>
    <xf numFmtId="10" fontId="32" fillId="0" borderId="53" xfId="2" applyNumberFormat="1" applyFont="1" applyBorder="1" applyAlignment="1">
      <alignment vertical="center"/>
    </xf>
    <xf numFmtId="49" fontId="11" fillId="0" borderId="20" xfId="2" applyNumberFormat="1" applyFont="1" applyBorder="1" applyAlignment="1">
      <alignment horizontal="right" vertical="center"/>
    </xf>
    <xf numFmtId="4" fontId="3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53" fillId="0" borderId="0" xfId="2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13" fillId="0" borderId="52" xfId="2" applyFont="1" applyBorder="1" applyAlignment="1">
      <alignment vertical="center"/>
    </xf>
    <xf numFmtId="0" fontId="13" fillId="0" borderId="20" xfId="2" applyFont="1" applyBorder="1" applyAlignment="1">
      <alignment horizontal="right" vertical="center"/>
    </xf>
    <xf numFmtId="0" fontId="13" fillId="0" borderId="54" xfId="2" applyFont="1" applyBorder="1" applyAlignment="1">
      <alignment vertical="center"/>
    </xf>
    <xf numFmtId="0" fontId="13" fillId="0" borderId="55" xfId="2" applyFont="1" applyBorder="1" applyAlignment="1">
      <alignment horizontal="right" vertical="center"/>
    </xf>
    <xf numFmtId="49" fontId="11" fillId="0" borderId="20" xfId="2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" fontId="11" fillId="0" borderId="55" xfId="0" applyNumberFormat="1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2" xfId="2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44" fillId="0" borderId="0" xfId="0" applyFont="1"/>
    <xf numFmtId="4" fontId="11" fillId="0" borderId="20" xfId="0" applyNumberFormat="1" applyFont="1" applyBorder="1" applyAlignment="1">
      <alignment vertical="center"/>
    </xf>
    <xf numFmtId="4" fontId="11" fillId="0" borderId="55" xfId="0" applyNumberFormat="1" applyFont="1" applyBorder="1" applyAlignment="1">
      <alignment vertical="center"/>
    </xf>
    <xf numFmtId="0" fontId="58" fillId="0" borderId="20" xfId="1" applyFont="1" applyBorder="1" applyAlignment="1">
      <alignment vertical="center"/>
    </xf>
    <xf numFmtId="0" fontId="15" fillId="0" borderId="20" xfId="1" applyFont="1" applyBorder="1" applyAlignment="1">
      <alignment vertical="center"/>
    </xf>
    <xf numFmtId="0" fontId="15" fillId="0" borderId="20" xfId="1" applyFont="1" applyBorder="1" applyAlignment="1">
      <alignment horizontal="center" vertical="center"/>
    </xf>
    <xf numFmtId="0" fontId="32" fillId="3" borderId="20" xfId="1" applyFont="1" applyFill="1" applyBorder="1" applyAlignment="1">
      <alignment vertical="center"/>
    </xf>
    <xf numFmtId="4" fontId="32" fillId="3" borderId="20" xfId="1" applyNumberFormat="1" applyFont="1" applyFill="1" applyBorder="1" applyAlignment="1">
      <alignment vertical="center"/>
    </xf>
    <xf numFmtId="0" fontId="33" fillId="3" borderId="20" xfId="1" applyFont="1" applyFill="1" applyBorder="1" applyAlignment="1">
      <alignment vertical="center"/>
    </xf>
    <xf numFmtId="0" fontId="33" fillId="3" borderId="20" xfId="1" applyFont="1" applyFill="1" applyBorder="1" applyAlignment="1">
      <alignment horizontal="center" vertical="center"/>
    </xf>
    <xf numFmtId="4" fontId="33" fillId="3" borderId="20" xfId="1" applyNumberFormat="1" applyFont="1" applyFill="1" applyBorder="1" applyAlignment="1">
      <alignment horizontal="center" vertical="center"/>
    </xf>
    <xf numFmtId="170" fontId="32" fillId="3" borderId="20" xfId="1" applyNumberFormat="1" applyFont="1" applyFill="1" applyBorder="1" applyAlignment="1">
      <alignment vertical="center"/>
    </xf>
    <xf numFmtId="4" fontId="33" fillId="3" borderId="20" xfId="1" applyNumberFormat="1" applyFont="1" applyFill="1" applyBorder="1" applyAlignment="1">
      <alignment vertical="center"/>
    </xf>
    <xf numFmtId="0" fontId="32" fillId="3" borderId="20" xfId="1" applyFont="1" applyFill="1" applyBorder="1" applyAlignment="1">
      <alignment vertical="center" wrapText="1" shrinkToFit="1"/>
    </xf>
    <xf numFmtId="182" fontId="32" fillId="3" borderId="20" xfId="1" applyNumberFormat="1" applyFont="1" applyFill="1" applyBorder="1" applyAlignment="1">
      <alignment vertical="center"/>
    </xf>
    <xf numFmtId="0" fontId="32" fillId="3" borderId="52" xfId="1" applyFont="1" applyFill="1" applyBorder="1" applyAlignment="1">
      <alignment horizontal="center" vertical="center"/>
    </xf>
    <xf numFmtId="0" fontId="32" fillId="3" borderId="52" xfId="1" applyFont="1" applyFill="1" applyBorder="1" applyAlignment="1">
      <alignment horizontal="center" vertical="center" wrapText="1"/>
    </xf>
    <xf numFmtId="10" fontId="15" fillId="0" borderId="20" xfId="1" applyNumberFormat="1" applyFont="1" applyBorder="1" applyAlignment="1">
      <alignment horizontal="center" vertical="center"/>
    </xf>
    <xf numFmtId="174" fontId="33" fillId="3" borderId="20" xfId="1" applyNumberFormat="1" applyFont="1" applyFill="1" applyBorder="1" applyAlignment="1">
      <alignment vertical="center"/>
    </xf>
    <xf numFmtId="174" fontId="32" fillId="3" borderId="20" xfId="1" applyNumberFormat="1" applyFont="1" applyFill="1" applyBorder="1" applyAlignment="1">
      <alignment horizontal="right" vertical="center"/>
    </xf>
    <xf numFmtId="0" fontId="33" fillId="3" borderId="55" xfId="1" applyFont="1" applyFill="1" applyBorder="1" applyAlignment="1">
      <alignment vertical="center"/>
    </xf>
    <xf numFmtId="174" fontId="33" fillId="3" borderId="55" xfId="1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2" fillId="0" borderId="20" xfId="0" quotePrefix="1" applyFont="1" applyBorder="1" applyAlignment="1">
      <alignment vertical="center" wrapText="1"/>
    </xf>
    <xf numFmtId="4" fontId="11" fillId="0" borderId="20" xfId="8" applyNumberFormat="1" applyFont="1" applyBorder="1" applyAlignment="1">
      <alignment horizontal="right" vertical="center"/>
    </xf>
    <xf numFmtId="0" fontId="32" fillId="0" borderId="52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58" fillId="0" borderId="57" xfId="1" applyFont="1" applyBorder="1" applyAlignment="1">
      <alignment horizontal="center" vertical="center"/>
    </xf>
    <xf numFmtId="0" fontId="33" fillId="3" borderId="52" xfId="1" applyFont="1" applyFill="1" applyBorder="1" applyAlignment="1">
      <alignment horizontal="center" vertical="center"/>
    </xf>
    <xf numFmtId="0" fontId="33" fillId="3" borderId="54" xfId="1" applyFont="1" applyFill="1" applyBorder="1" applyAlignment="1">
      <alignment horizontal="center" vertical="center"/>
    </xf>
    <xf numFmtId="0" fontId="41" fillId="3" borderId="0" xfId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54" xfId="2" applyFont="1" applyBorder="1" applyAlignment="1">
      <alignment horizontal="left" vertical="center"/>
    </xf>
    <xf numFmtId="0" fontId="58" fillId="0" borderId="59" xfId="1" applyFont="1" applyBorder="1" applyAlignment="1">
      <alignment horizontal="center" vertical="center"/>
    </xf>
    <xf numFmtId="0" fontId="58" fillId="0" borderId="5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1" fillId="0" borderId="52" xfId="1" applyFont="1" applyBorder="1" applyAlignment="1">
      <alignment horizontal="center" vertical="center"/>
    </xf>
    <xf numFmtId="0" fontId="35" fillId="0" borderId="52" xfId="1" applyFont="1" applyBorder="1" applyAlignment="1">
      <alignment horizontal="center" vertical="center"/>
    </xf>
    <xf numFmtId="0" fontId="35" fillId="0" borderId="20" xfId="2" applyFont="1" applyBorder="1" applyAlignment="1">
      <alignment horizontal="center" vertical="center"/>
    </xf>
    <xf numFmtId="0" fontId="35" fillId="0" borderId="20" xfId="2" applyFont="1" applyBorder="1" applyAlignment="1">
      <alignment vertical="center" wrapText="1"/>
    </xf>
    <xf numFmtId="4" fontId="1" fillId="0" borderId="20" xfId="2" applyNumberFormat="1" applyFont="1" applyBorder="1" applyAlignment="1">
      <alignment horizontal="center" vertical="center"/>
    </xf>
    <xf numFmtId="4" fontId="1" fillId="2" borderId="20" xfId="13" applyNumberFormat="1" applyFill="1" applyBorder="1" applyAlignment="1">
      <alignment horizontal="center" vertical="center"/>
    </xf>
    <xf numFmtId="164" fontId="1" fillId="0" borderId="53" xfId="8" applyFont="1" applyBorder="1" applyAlignment="1">
      <alignment horizontal="center" vertical="center" wrapText="1"/>
    </xf>
    <xf numFmtId="173" fontId="1" fillId="2" borderId="20" xfId="13" applyNumberFormat="1" applyFill="1" applyBorder="1" applyAlignment="1">
      <alignment horizontal="center" vertical="center"/>
    </xf>
    <xf numFmtId="0" fontId="35" fillId="0" borderId="20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/>
    </xf>
    <xf numFmtId="2" fontId="35" fillId="0" borderId="20" xfId="2" applyNumberFormat="1" applyFont="1" applyBorder="1" applyAlignment="1">
      <alignment horizontal="center" vertical="center"/>
    </xf>
    <xf numFmtId="2" fontId="35" fillId="0" borderId="20" xfId="2" applyNumberFormat="1" applyFont="1" applyBorder="1" applyAlignment="1">
      <alignment horizontal="right" vertical="center"/>
    </xf>
    <xf numFmtId="4" fontId="1" fillId="0" borderId="53" xfId="2" applyNumberFormat="1" applyFont="1" applyBorder="1" applyAlignment="1">
      <alignment vertical="center"/>
    </xf>
    <xf numFmtId="164" fontId="3" fillId="0" borderId="53" xfId="7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7" applyNumberFormat="1" applyFont="1" applyBorder="1" applyAlignment="1">
      <alignment horizontal="center" vertical="center"/>
    </xf>
    <xf numFmtId="0" fontId="3" fillId="0" borderId="53" xfId="7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10" fontId="11" fillId="0" borderId="0" xfId="0" applyNumberFormat="1" applyFont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/>
    </xf>
    <xf numFmtId="0" fontId="2" fillId="3" borderId="22" xfId="2" applyFill="1" applyBorder="1" applyAlignment="1">
      <alignment horizontal="left" vertical="center"/>
    </xf>
    <xf numFmtId="0" fontId="2" fillId="3" borderId="23" xfId="2" applyFill="1" applyBorder="1" applyAlignment="1">
      <alignment horizontal="left" vertical="center"/>
    </xf>
    <xf numFmtId="10" fontId="32" fillId="0" borderId="55" xfId="2" applyNumberFormat="1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166" fontId="32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79" fontId="11" fillId="0" borderId="20" xfId="7" applyNumberFormat="1" applyFont="1" applyBorder="1" applyAlignment="1">
      <alignment horizontal="right" vertical="center"/>
    </xf>
    <xf numFmtId="179" fontId="1" fillId="3" borderId="47" xfId="7" applyNumberFormat="1" applyFill="1" applyBorder="1" applyAlignment="1">
      <alignment horizontal="center" vertical="center" wrapText="1"/>
    </xf>
    <xf numFmtId="179" fontId="2" fillId="3" borderId="20" xfId="7" applyNumberFormat="1" applyFont="1" applyFill="1" applyBorder="1" applyAlignment="1">
      <alignment vertical="center"/>
    </xf>
    <xf numFmtId="179" fontId="2" fillId="3" borderId="20" xfId="7" applyNumberFormat="1" applyFont="1" applyFill="1" applyBorder="1" applyAlignment="1">
      <alignment horizontal="center" vertical="center"/>
    </xf>
    <xf numFmtId="179" fontId="55" fillId="3" borderId="20" xfId="7" applyNumberFormat="1" applyFont="1" applyFill="1" applyBorder="1" applyAlignment="1">
      <alignment horizontal="center" vertical="center"/>
    </xf>
    <xf numFmtId="179" fontId="2" fillId="3" borderId="0" xfId="7" applyNumberFormat="1" applyFont="1" applyFill="1" applyAlignment="1">
      <alignment vertical="center"/>
    </xf>
    <xf numFmtId="179" fontId="17" fillId="3" borderId="11" xfId="7" applyNumberFormat="1" applyFont="1" applyFill="1" applyBorder="1" applyAlignment="1">
      <alignment vertical="center"/>
    </xf>
    <xf numFmtId="179" fontId="17" fillId="3" borderId="0" xfId="7" applyNumberFormat="1" applyFont="1" applyFill="1" applyAlignment="1">
      <alignment vertical="center"/>
    </xf>
    <xf numFmtId="179" fontId="3" fillId="3" borderId="70" xfId="7" applyNumberFormat="1" applyFont="1" applyFill="1" applyBorder="1" applyAlignment="1">
      <alignment vertical="center"/>
    </xf>
    <xf numFmtId="179" fontId="2" fillId="3" borderId="0" xfId="7" applyNumberFormat="1" applyFont="1" applyFill="1" applyAlignment="1">
      <alignment horizontal="center" vertical="center"/>
    </xf>
    <xf numFmtId="179" fontId="3" fillId="3" borderId="0" xfId="7" applyNumberFormat="1" applyFont="1" applyFill="1" applyAlignment="1">
      <alignment horizontal="center" vertical="center"/>
    </xf>
    <xf numFmtId="4" fontId="11" fillId="0" borderId="20" xfId="2" applyNumberFormat="1" applyFont="1" applyBorder="1" applyAlignment="1">
      <alignment horizontal="left" vertical="center"/>
    </xf>
    <xf numFmtId="0" fontId="12" fillId="4" borderId="57" xfId="0" applyFont="1" applyFill="1" applyBorder="1" applyAlignment="1">
      <alignment horizontal="center" vertical="center" wrapText="1"/>
    </xf>
    <xf numFmtId="0" fontId="33" fillId="4" borderId="58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165" fontId="12" fillId="4" borderId="58" xfId="0" applyNumberFormat="1" applyFont="1" applyFill="1" applyBorder="1" applyAlignment="1">
      <alignment horizontal="center" vertical="center" wrapText="1"/>
    </xf>
    <xf numFmtId="164" fontId="12" fillId="4" borderId="58" xfId="7" applyFont="1" applyFill="1" applyBorder="1" applyAlignment="1">
      <alignment horizontal="center" vertical="center" wrapText="1"/>
    </xf>
    <xf numFmtId="166" fontId="12" fillId="4" borderId="58" xfId="0" applyNumberFormat="1" applyFont="1" applyFill="1" applyBorder="1" applyAlignment="1">
      <alignment horizontal="center" vertical="center" wrapText="1"/>
    </xf>
    <xf numFmtId="10" fontId="12" fillId="4" borderId="59" xfId="0" applyNumberFormat="1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right" vertical="center" wrapText="1"/>
    </xf>
    <xf numFmtId="164" fontId="12" fillId="5" borderId="20" xfId="7" applyFont="1" applyFill="1" applyBorder="1" applyAlignment="1">
      <alignment horizontal="right" vertical="center" wrapText="1"/>
    </xf>
    <xf numFmtId="10" fontId="12" fillId="5" borderId="53" xfId="5" applyNumberFormat="1" applyFont="1" applyFill="1" applyBorder="1" applyAlignment="1">
      <alignment horizontal="right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left" vertical="center" wrapText="1"/>
    </xf>
    <xf numFmtId="164" fontId="11" fillId="0" borderId="20" xfId="7" applyFont="1" applyBorder="1" applyAlignment="1">
      <alignment horizontal="right" vertical="center" wrapText="1"/>
    </xf>
    <xf numFmtId="0" fontId="11" fillId="0" borderId="20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20" xfId="7" applyNumberFormat="1" applyFont="1" applyBorder="1" applyAlignment="1">
      <alignment horizontal="right" vertical="center" wrapText="1"/>
    </xf>
    <xf numFmtId="164" fontId="12" fillId="0" borderId="20" xfId="7" applyFont="1" applyBorder="1" applyAlignment="1">
      <alignment horizontal="right" vertical="center" wrapText="1"/>
    </xf>
    <xf numFmtId="166" fontId="33" fillId="5" borderId="20" xfId="0" applyNumberFormat="1" applyFont="1" applyFill="1" applyBorder="1" applyAlignment="1">
      <alignment horizontal="left" vertical="center" wrapText="1"/>
    </xf>
    <xf numFmtId="0" fontId="12" fillId="5" borderId="20" xfId="7" applyNumberFormat="1" applyFont="1" applyFill="1" applyBorder="1" applyAlignment="1">
      <alignment horizontal="right" vertical="center" wrapText="1"/>
    </xf>
    <xf numFmtId="4" fontId="11" fillId="3" borderId="20" xfId="0" applyNumberFormat="1" applyFont="1" applyFill="1" applyBorder="1" applyAlignment="1">
      <alignment horizontal="right" vertical="center"/>
    </xf>
    <xf numFmtId="166" fontId="33" fillId="0" borderId="20" xfId="0" applyNumberFormat="1" applyFont="1" applyBorder="1" applyAlignment="1">
      <alignment horizontal="lef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right" vertical="center" wrapText="1"/>
    </xf>
    <xf numFmtId="164" fontId="33" fillId="0" borderId="20" xfId="7" applyFont="1" applyBorder="1" applyAlignment="1">
      <alignment horizontal="right" vertical="center" wrapText="1"/>
    </xf>
    <xf numFmtId="4" fontId="33" fillId="0" borderId="20" xfId="0" applyNumberFormat="1" applyFont="1" applyBorder="1" applyAlignment="1">
      <alignment horizontal="right" vertical="center" wrapText="1"/>
    </xf>
    <xf numFmtId="0" fontId="11" fillId="0" borderId="20" xfId="2" applyFont="1" applyBorder="1" applyAlignment="1">
      <alignment horizontal="justify" vertical="center" wrapText="1"/>
    </xf>
    <xf numFmtId="4" fontId="32" fillId="0" borderId="20" xfId="0" applyNumberFormat="1" applyFont="1" applyBorder="1" applyAlignment="1">
      <alignment horizontal="right" vertical="center" wrapText="1"/>
    </xf>
    <xf numFmtId="0" fontId="12" fillId="0" borderId="20" xfId="2" applyFont="1" applyBorder="1" applyAlignment="1">
      <alignment horizontal="left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justify" vertical="center" wrapText="1"/>
    </xf>
    <xf numFmtId="4" fontId="32" fillId="3" borderId="20" xfId="0" applyNumberFormat="1" applyFont="1" applyFill="1" applyBorder="1" applyAlignment="1">
      <alignment horizontal="right" vertical="center" wrapText="1"/>
    </xf>
    <xf numFmtId="164" fontId="11" fillId="3" borderId="20" xfId="7" applyFont="1" applyFill="1" applyBorder="1" applyAlignment="1">
      <alignment horizontal="right" vertical="center" wrapText="1"/>
    </xf>
    <xf numFmtId="0" fontId="32" fillId="0" borderId="20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right" vertical="center" wrapText="1"/>
    </xf>
    <xf numFmtId="164" fontId="33" fillId="5" borderId="20" xfId="7" applyFont="1" applyFill="1" applyBorder="1" applyAlignment="1">
      <alignment horizontal="right" vertical="center" wrapText="1"/>
    </xf>
    <xf numFmtId="4" fontId="12" fillId="5" borderId="20" xfId="0" applyNumberFormat="1" applyFont="1" applyFill="1" applyBorder="1" applyAlignment="1">
      <alignment horizontal="right" vertical="center" wrapText="1"/>
    </xf>
    <xf numFmtId="10" fontId="11" fillId="5" borderId="53" xfId="0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2" fontId="32" fillId="0" borderId="20" xfId="2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justify" vertical="center" wrapText="1"/>
    </xf>
    <xf numFmtId="2" fontId="11" fillId="3" borderId="20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right" vertical="center" wrapText="1"/>
    </xf>
    <xf numFmtId="164" fontId="11" fillId="3" borderId="20" xfId="8" applyFont="1" applyFill="1" applyBorder="1" applyAlignment="1">
      <alignment horizontal="right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right" vertical="center" wrapText="1"/>
    </xf>
    <xf numFmtId="2" fontId="12" fillId="3" borderId="20" xfId="0" applyNumberFormat="1" applyFont="1" applyFill="1" applyBorder="1" applyAlignment="1">
      <alignment horizontal="center" vertical="center" wrapText="1"/>
    </xf>
    <xf numFmtId="4" fontId="12" fillId="3" borderId="20" xfId="0" applyNumberFormat="1" applyFont="1" applyFill="1" applyBorder="1" applyAlignment="1">
      <alignment horizontal="right" vertical="center" wrapText="1"/>
    </xf>
    <xf numFmtId="164" fontId="12" fillId="3" borderId="20" xfId="7" applyFont="1" applyFill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 wrapText="1"/>
    </xf>
    <xf numFmtId="164" fontId="32" fillId="3" borderId="20" xfId="4" applyNumberFormat="1" applyFont="1" applyFill="1" applyBorder="1" applyAlignment="1">
      <alignment horizontal="right" vertical="center" wrapText="1"/>
    </xf>
    <xf numFmtId="164" fontId="32" fillId="3" borderId="20" xfId="7" applyFont="1" applyFill="1" applyBorder="1" applyAlignment="1">
      <alignment horizontal="right" vertical="center" wrapText="1"/>
    </xf>
    <xf numFmtId="43" fontId="9" fillId="0" borderId="55" xfId="0" applyNumberFormat="1" applyFont="1" applyBorder="1" applyAlignment="1">
      <alignment vertical="center"/>
    </xf>
    <xf numFmtId="168" fontId="9" fillId="0" borderId="56" xfId="0" applyNumberFormat="1" applyFont="1" applyBorder="1" applyAlignment="1">
      <alignment horizontal="right" vertical="center"/>
    </xf>
    <xf numFmtId="10" fontId="11" fillId="0" borderId="56" xfId="0" applyNumberFormat="1" applyFont="1" applyBorder="1" applyAlignment="1">
      <alignment vertical="center"/>
    </xf>
    <xf numFmtId="164" fontId="2" fillId="3" borderId="51" xfId="8" applyFill="1" applyBorder="1" applyAlignment="1">
      <alignment horizontal="center" vertical="center" wrapText="1"/>
    </xf>
    <xf numFmtId="177" fontId="2" fillId="3" borderId="53" xfId="2" applyNumberFormat="1" applyFill="1" applyBorder="1" applyAlignment="1">
      <alignment vertical="center"/>
    </xf>
    <xf numFmtId="4" fontId="2" fillId="3" borderId="60" xfId="2" applyNumberFormat="1" applyFill="1" applyBorder="1" applyAlignment="1">
      <alignment horizontal="left" vertical="center"/>
    </xf>
    <xf numFmtId="2" fontId="2" fillId="0" borderId="53" xfId="8" applyNumberFormat="1" applyBorder="1" applyAlignment="1">
      <alignment vertical="center"/>
    </xf>
    <xf numFmtId="179" fontId="2" fillId="3" borderId="53" xfId="8" applyNumberFormat="1" applyFill="1" applyBorder="1" applyAlignment="1">
      <alignment vertical="center"/>
    </xf>
    <xf numFmtId="177" fontId="55" fillId="3" borderId="53" xfId="2" applyNumberFormat="1" applyFont="1" applyFill="1" applyBorder="1" applyAlignment="1">
      <alignment horizontal="center" vertical="center"/>
    </xf>
    <xf numFmtId="0" fontId="2" fillId="3" borderId="2" xfId="2" applyFill="1" applyBorder="1" applyAlignment="1">
      <alignment vertical="center"/>
    </xf>
    <xf numFmtId="180" fontId="17" fillId="3" borderId="24" xfId="2" applyNumberFormat="1" applyFont="1" applyFill="1" applyBorder="1" applyAlignment="1">
      <alignment vertical="center"/>
    </xf>
    <xf numFmtId="180" fontId="17" fillId="3" borderId="2" xfId="2" applyNumberFormat="1" applyFont="1" applyFill="1" applyBorder="1" applyAlignment="1">
      <alignment vertical="center"/>
    </xf>
    <xf numFmtId="2" fontId="2" fillId="3" borderId="2" xfId="2" applyNumberFormat="1" applyFill="1" applyBorder="1" applyAlignment="1">
      <alignment vertical="center"/>
    </xf>
    <xf numFmtId="177" fontId="2" fillId="3" borderId="2" xfId="2" applyNumberFormat="1" applyFill="1" applyBorder="1" applyAlignment="1">
      <alignment vertical="center"/>
    </xf>
    <xf numFmtId="177" fontId="3" fillId="3" borderId="122" xfId="2" applyNumberFormat="1" applyFont="1" applyFill="1" applyBorder="1" applyAlignment="1">
      <alignment vertical="center"/>
    </xf>
    <xf numFmtId="0" fontId="23" fillId="0" borderId="20" xfId="2" applyFont="1" applyBorder="1" applyAlignment="1">
      <alignment horizontal="center" vertical="center" wrapText="1"/>
    </xf>
    <xf numFmtId="3" fontId="13" fillId="0" borderId="52" xfId="2" applyNumberFormat="1" applyFont="1" applyBorder="1" applyAlignment="1">
      <alignment horizontal="center" vertical="center"/>
    </xf>
    <xf numFmtId="4" fontId="13" fillId="0" borderId="20" xfId="2" applyNumberFormat="1" applyFont="1" applyBorder="1" applyAlignment="1">
      <alignment horizontal="left" vertical="center"/>
    </xf>
    <xf numFmtId="4" fontId="13" fillId="0" borderId="20" xfId="2" applyNumberFormat="1" applyFont="1" applyBorder="1" applyAlignment="1">
      <alignment horizontal="center" vertical="center"/>
    </xf>
    <xf numFmtId="4" fontId="13" fillId="0" borderId="20" xfId="2" applyNumberFormat="1" applyFont="1" applyBorder="1" applyAlignment="1">
      <alignment horizontal="right" vertical="center"/>
    </xf>
    <xf numFmtId="4" fontId="13" fillId="0" borderId="53" xfId="2" applyNumberFormat="1" applyFont="1" applyBorder="1" applyAlignment="1">
      <alignment horizontal="right" vertical="center"/>
    </xf>
    <xf numFmtId="4" fontId="23" fillId="0" borderId="55" xfId="2" applyNumberFormat="1" applyFont="1" applyBorder="1" applyAlignment="1">
      <alignment horizontal="center" vertical="center"/>
    </xf>
    <xf numFmtId="4" fontId="23" fillId="0" borderId="55" xfId="2" applyNumberFormat="1" applyFont="1" applyBorder="1" applyAlignment="1">
      <alignment vertical="center"/>
    </xf>
    <xf numFmtId="0" fontId="2" fillId="0" borderId="55" xfId="2" applyBorder="1" applyAlignment="1">
      <alignment vertical="center"/>
    </xf>
    <xf numFmtId="4" fontId="23" fillId="0" borderId="56" xfId="2" applyNumberFormat="1" applyFont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164" fontId="11" fillId="3" borderId="20" xfId="8" applyFont="1" applyFill="1" applyBorder="1" applyAlignment="1">
      <alignment horizontal="center" vertical="center"/>
    </xf>
    <xf numFmtId="4" fontId="11" fillId="3" borderId="20" xfId="2" applyNumberFormat="1" applyFont="1" applyFill="1" applyBorder="1" applyAlignment="1">
      <alignment horizontal="center" vertical="center"/>
    </xf>
    <xf numFmtId="4" fontId="11" fillId="3" borderId="53" xfId="8" applyNumberFormat="1" applyFont="1" applyFill="1" applyBorder="1" applyAlignment="1">
      <alignment horizontal="center" vertical="center"/>
    </xf>
    <xf numFmtId="4" fontId="11" fillId="3" borderId="20" xfId="2" applyNumberFormat="1" applyFont="1" applyFill="1" applyBorder="1" applyAlignment="1">
      <alignment horizontal="left" vertical="center"/>
    </xf>
    <xf numFmtId="0" fontId="11" fillId="0" borderId="52" xfId="2" applyFont="1" applyBorder="1" applyAlignment="1">
      <alignment horizontal="center" vertical="center"/>
    </xf>
    <xf numFmtId="2" fontId="11" fillId="0" borderId="20" xfId="2" applyNumberFormat="1" applyFont="1" applyBorder="1" applyAlignment="1">
      <alignment horizontal="right" vertical="center"/>
    </xf>
    <xf numFmtId="164" fontId="11" fillId="0" borderId="20" xfId="8" applyFont="1" applyBorder="1" applyAlignment="1">
      <alignment horizontal="right" vertical="center" wrapText="1"/>
    </xf>
    <xf numFmtId="0" fontId="13" fillId="0" borderId="20" xfId="2" applyFont="1" applyBorder="1" applyAlignment="1">
      <alignment horizontal="center" vertical="center"/>
    </xf>
    <xf numFmtId="164" fontId="11" fillId="0" borderId="53" xfId="8" applyFont="1" applyBorder="1" applyAlignment="1">
      <alignment horizontal="center" vertical="center"/>
    </xf>
    <xf numFmtId="4" fontId="23" fillId="0" borderId="56" xfId="2" applyNumberFormat="1" applyFont="1" applyBorder="1" applyAlignment="1">
      <alignment vertical="center"/>
    </xf>
    <xf numFmtId="4" fontId="32" fillId="0" borderId="53" xfId="2" applyNumberFormat="1" applyFont="1" applyBorder="1" applyAlignment="1">
      <alignment horizontal="right" vertical="center"/>
    </xf>
    <xf numFmtId="0" fontId="12" fillId="7" borderId="57" xfId="0" applyFont="1" applyFill="1" applyBorder="1" applyAlignment="1">
      <alignment horizontal="center" vertical="center" wrapText="1"/>
    </xf>
    <xf numFmtId="166" fontId="33" fillId="7" borderId="58" xfId="0" applyNumberFormat="1" applyFont="1" applyFill="1" applyBorder="1" applyAlignment="1">
      <alignment horizontal="center" vertical="center" wrapText="1"/>
    </xf>
    <xf numFmtId="0" fontId="33" fillId="7" borderId="58" xfId="0" applyFont="1" applyFill="1" applyBorder="1" applyAlignment="1">
      <alignment horizontal="center" vertical="center" wrapText="1"/>
    </xf>
    <xf numFmtId="0" fontId="33" fillId="7" borderId="59" xfId="0" applyFont="1" applyFill="1" applyBorder="1" applyAlignment="1">
      <alignment horizontal="center" vertical="center" wrapText="1"/>
    </xf>
    <xf numFmtId="0" fontId="33" fillId="5" borderId="53" xfId="0" applyFont="1" applyFill="1" applyBorder="1" applyAlignment="1">
      <alignment horizontal="center" vertical="center" wrapText="1"/>
    </xf>
    <xf numFmtId="2" fontId="11" fillId="0" borderId="53" xfId="0" quotePrefix="1" applyNumberFormat="1" applyFont="1" applyBorder="1" applyAlignment="1">
      <alignment horizontal="center" vertical="center"/>
    </xf>
    <xf numFmtId="0" fontId="11" fillId="0" borderId="20" xfId="0" quotePrefix="1" applyFont="1" applyBorder="1" applyAlignment="1">
      <alignment horizontal="center" vertical="center"/>
    </xf>
    <xf numFmtId="164" fontId="11" fillId="0" borderId="53" xfId="7" quotePrefix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33" fillId="5" borderId="53" xfId="0" applyFont="1" applyFill="1" applyBorder="1" applyAlignment="1">
      <alignment horizontal="right" vertical="center" wrapText="1"/>
    </xf>
    <xf numFmtId="0" fontId="33" fillId="0" borderId="53" xfId="0" applyFont="1" applyBorder="1" applyAlignment="1">
      <alignment horizontal="right" vertical="center" wrapText="1"/>
    </xf>
    <xf numFmtId="4" fontId="32" fillId="0" borderId="20" xfId="0" applyNumberFormat="1" applyFont="1" applyBorder="1" applyAlignment="1">
      <alignment horizontal="center" vertical="center" wrapText="1"/>
    </xf>
    <xf numFmtId="4" fontId="32" fillId="0" borderId="53" xfId="0" applyNumberFormat="1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4" fontId="33" fillId="0" borderId="53" xfId="0" applyNumberFormat="1" applyFont="1" applyBorder="1" applyAlignment="1">
      <alignment horizontal="right" vertical="center" wrapText="1"/>
    </xf>
    <xf numFmtId="0" fontId="33" fillId="0" borderId="53" xfId="0" applyFont="1" applyBorder="1" applyAlignment="1">
      <alignment horizontal="center" vertical="center" wrapText="1"/>
    </xf>
    <xf numFmtId="0" fontId="12" fillId="0" borderId="53" xfId="0" applyFont="1" applyBorder="1" applyAlignment="1">
      <alignment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53" xfId="0" applyNumberFormat="1" applyFont="1" applyBorder="1" applyAlignment="1">
      <alignment horizontal="right" vertical="center" wrapText="1"/>
    </xf>
    <xf numFmtId="2" fontId="32" fillId="3" borderId="20" xfId="2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4" fontId="11" fillId="3" borderId="53" xfId="0" applyNumberFormat="1" applyFont="1" applyFill="1" applyBorder="1" applyAlignment="1">
      <alignment horizontal="right" vertical="center" wrapText="1"/>
    </xf>
    <xf numFmtId="4" fontId="32" fillId="0" borderId="53" xfId="0" applyNumberFormat="1" applyFont="1" applyBorder="1" applyAlignment="1">
      <alignment horizontal="right" vertical="center" wrapText="1"/>
    </xf>
    <xf numFmtId="4" fontId="32" fillId="3" borderId="20" xfId="0" applyNumberFormat="1" applyFont="1" applyFill="1" applyBorder="1" applyAlignment="1">
      <alignment horizontal="center" vertical="center" wrapText="1"/>
    </xf>
    <xf numFmtId="4" fontId="32" fillId="3" borderId="53" xfId="0" applyNumberFormat="1" applyFont="1" applyFill="1" applyBorder="1" applyAlignment="1">
      <alignment horizontal="right" vertical="center" wrapText="1"/>
    </xf>
    <xf numFmtId="0" fontId="11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justify" vertical="center" wrapText="1"/>
    </xf>
    <xf numFmtId="0" fontId="32" fillId="0" borderId="55" xfId="0" applyFont="1" applyBorder="1" applyAlignment="1">
      <alignment horizontal="center" vertical="center" wrapText="1"/>
    </xf>
    <xf numFmtId="4" fontId="32" fillId="3" borderId="55" xfId="0" applyNumberFormat="1" applyFont="1" applyFill="1" applyBorder="1" applyAlignment="1">
      <alignment horizontal="center" vertical="center" wrapText="1"/>
    </xf>
    <xf numFmtId="4" fontId="32" fillId="3" borderId="56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/>
    </xf>
    <xf numFmtId="164" fontId="0" fillId="0" borderId="20" xfId="7" applyFont="1" applyBorder="1" applyAlignment="1">
      <alignment vertical="center"/>
    </xf>
    <xf numFmtId="10" fontId="0" fillId="0" borderId="53" xfId="0" applyNumberForma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164" fontId="4" fillId="0" borderId="55" xfId="7" applyFont="1" applyBorder="1" applyAlignment="1">
      <alignment vertical="center"/>
    </xf>
    <xf numFmtId="168" fontId="4" fillId="0" borderId="56" xfId="0" applyNumberFormat="1" applyFont="1" applyBorder="1" applyAlignment="1">
      <alignment vertical="center"/>
    </xf>
    <xf numFmtId="164" fontId="8" fillId="0" borderId="20" xfId="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0" fontId="1" fillId="0" borderId="20" xfId="6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0" fontId="3" fillId="0" borderId="20" xfId="6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vertical="center"/>
    </xf>
    <xf numFmtId="168" fontId="4" fillId="0" borderId="20" xfId="6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9" fontId="4" fillId="0" borderId="20" xfId="6" applyFont="1" applyBorder="1" applyAlignment="1">
      <alignment horizontal="center" vertical="center"/>
    </xf>
    <xf numFmtId="168" fontId="4" fillId="0" borderId="53" xfId="6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vertical="center"/>
    </xf>
    <xf numFmtId="168" fontId="4" fillId="0" borderId="55" xfId="6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vertical="center"/>
    </xf>
    <xf numFmtId="9" fontId="4" fillId="0" borderId="55" xfId="6" applyFont="1" applyBorder="1" applyAlignment="1">
      <alignment horizontal="center" vertical="center"/>
    </xf>
    <xf numFmtId="168" fontId="4" fillId="0" borderId="56" xfId="6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12" fillId="0" borderId="52" xfId="0" applyFont="1" applyBorder="1" applyAlignment="1">
      <alignment horizontal="center" vertical="center"/>
    </xf>
    <xf numFmtId="4" fontId="12" fillId="0" borderId="53" xfId="0" applyNumberFormat="1" applyFont="1" applyBorder="1" applyAlignment="1">
      <alignment horizontal="right" vertical="center"/>
    </xf>
    <xf numFmtId="4" fontId="11" fillId="0" borderId="53" xfId="0" applyNumberFormat="1" applyFont="1" applyBorder="1" applyAlignment="1">
      <alignment vertical="center"/>
    </xf>
    <xf numFmtId="172" fontId="2" fillId="0" borderId="0" xfId="0" applyNumberFormat="1" applyFont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horizontal="right" vertical="center"/>
    </xf>
    <xf numFmtId="4" fontId="12" fillId="0" borderId="53" xfId="0" applyNumberFormat="1" applyFont="1" applyBorder="1" applyAlignment="1">
      <alignment vertical="center"/>
    </xf>
    <xf numFmtId="4" fontId="11" fillId="0" borderId="56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52" xfId="2" applyFont="1" applyBorder="1" applyAlignment="1">
      <alignment vertical="center"/>
    </xf>
    <xf numFmtId="0" fontId="5" fillId="0" borderId="54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10" fontId="41" fillId="0" borderId="53" xfId="2" applyNumberFormat="1" applyFont="1" applyBorder="1" applyAlignment="1">
      <alignment vertical="center"/>
    </xf>
    <xf numFmtId="4" fontId="5" fillId="0" borderId="55" xfId="2" applyNumberFormat="1" applyFont="1" applyBorder="1" applyAlignment="1">
      <alignment horizontal="left" vertical="center"/>
    </xf>
    <xf numFmtId="0" fontId="31" fillId="0" borderId="1" xfId="1" applyFont="1" applyBorder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43" fontId="13" fillId="0" borderId="0" xfId="0" applyNumberFormat="1" applyFont="1" applyAlignment="1">
      <alignment vertical="center"/>
    </xf>
    <xf numFmtId="43" fontId="2" fillId="0" borderId="0" xfId="2" applyNumberFormat="1" applyAlignment="1">
      <alignment vertical="center"/>
    </xf>
    <xf numFmtId="4" fontId="32" fillId="0" borderId="20" xfId="2" applyNumberFormat="1" applyFont="1" applyBorder="1" applyAlignment="1">
      <alignment horizontal="right" vertical="center"/>
    </xf>
    <xf numFmtId="0" fontId="2" fillId="0" borderId="0" xfId="2" applyAlignment="1">
      <alignment vertical="center" wrapText="1"/>
    </xf>
    <xf numFmtId="10" fontId="11" fillId="0" borderId="53" xfId="5" quotePrefix="1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right" vertical="center"/>
    </xf>
    <xf numFmtId="164" fontId="11" fillId="0" borderId="20" xfId="7" applyFont="1" applyBorder="1" applyAlignment="1">
      <alignment horizontal="right" vertical="center"/>
    </xf>
    <xf numFmtId="43" fontId="83" fillId="0" borderId="20" xfId="0" applyNumberFormat="1" applyFont="1" applyBorder="1" applyAlignment="1">
      <alignment vertical="center"/>
    </xf>
    <xf numFmtId="4" fontId="13" fillId="0" borderId="21" xfId="2" applyNumberFormat="1" applyFont="1" applyBorder="1" applyAlignment="1">
      <alignment horizontal="right" vertical="center"/>
    </xf>
    <xf numFmtId="0" fontId="41" fillId="6" borderId="35" xfId="1" applyFont="1" applyFill="1" applyBorder="1" applyAlignment="1">
      <alignment horizontal="center" vertical="center"/>
    </xf>
    <xf numFmtId="0" fontId="41" fillId="6" borderId="35" xfId="1" applyFont="1" applyFill="1" applyBorder="1" applyAlignment="1">
      <alignment horizontal="center" vertical="center" wrapText="1"/>
    </xf>
    <xf numFmtId="0" fontId="41" fillId="0" borderId="35" xfId="1" applyFont="1" applyBorder="1" applyAlignment="1">
      <alignment horizontal="center" vertical="center"/>
    </xf>
    <xf numFmtId="171" fontId="0" fillId="3" borderId="13" xfId="0" applyNumberFormat="1" applyFill="1" applyBorder="1" applyAlignment="1">
      <alignment horizontal="center"/>
    </xf>
    <xf numFmtId="0" fontId="1" fillId="0" borderId="0" xfId="2" applyFont="1" applyAlignment="1">
      <alignment vertical="center"/>
    </xf>
    <xf numFmtId="0" fontId="23" fillId="34" borderId="91" xfId="2" applyFont="1" applyFill="1" applyBorder="1" applyAlignment="1">
      <alignment horizontal="center" vertical="center"/>
    </xf>
    <xf numFmtId="0" fontId="27" fillId="34" borderId="93" xfId="1" applyFont="1" applyFill="1" applyBorder="1" applyAlignment="1">
      <alignment horizontal="center" vertical="center"/>
    </xf>
    <xf numFmtId="0" fontId="41" fillId="0" borderId="20" xfId="97" applyFont="1" applyBorder="1" applyAlignment="1">
      <alignment horizontal="center" vertical="center"/>
    </xf>
    <xf numFmtId="0" fontId="41" fillId="0" borderId="20" xfId="97" applyFont="1" applyBorder="1" applyAlignment="1">
      <alignment vertical="center" wrapText="1"/>
    </xf>
    <xf numFmtId="4" fontId="13" fillId="0" borderId="20" xfId="97" applyNumberFormat="1" applyFont="1" applyBorder="1" applyAlignment="1">
      <alignment horizontal="center" vertical="center"/>
    </xf>
    <xf numFmtId="4" fontId="13" fillId="2" borderId="20" xfId="13" applyNumberFormat="1" applyFont="1" applyFill="1" applyBorder="1" applyAlignment="1">
      <alignment horizontal="center" vertical="center"/>
    </xf>
    <xf numFmtId="164" fontId="13" fillId="0" borderId="53" xfId="8" applyFont="1" applyBorder="1" applyAlignment="1">
      <alignment horizontal="center" vertical="center" wrapText="1"/>
    </xf>
    <xf numFmtId="0" fontId="41" fillId="0" borderId="20" xfId="97" applyFont="1" applyBorder="1" applyAlignment="1">
      <alignment horizontal="center" vertical="center" wrapText="1"/>
    </xf>
    <xf numFmtId="0" fontId="13" fillId="0" borderId="20" xfId="97" applyFont="1" applyBorder="1" applyAlignment="1">
      <alignment horizontal="center" vertical="center"/>
    </xf>
    <xf numFmtId="2" fontId="41" fillId="0" borderId="20" xfId="97" applyNumberFormat="1" applyFont="1" applyBorder="1" applyAlignment="1">
      <alignment horizontal="center" vertical="center"/>
    </xf>
    <xf numFmtId="2" fontId="41" fillId="0" borderId="20" xfId="97" applyNumberFormat="1" applyFont="1" applyBorder="1" applyAlignment="1">
      <alignment horizontal="right" vertical="center"/>
    </xf>
    <xf numFmtId="4" fontId="13" fillId="0" borderId="53" xfId="97" applyNumberFormat="1" applyFont="1" applyBorder="1" applyAlignment="1">
      <alignment vertical="center"/>
    </xf>
    <xf numFmtId="164" fontId="23" fillId="0" borderId="53" xfId="7" applyFont="1" applyBorder="1" applyAlignment="1">
      <alignment vertical="center"/>
    </xf>
    <xf numFmtId="0" fontId="13" fillId="0" borderId="2" xfId="0" applyFont="1" applyBorder="1"/>
    <xf numFmtId="0" fontId="23" fillId="0" borderId="52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53" xfId="7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3" fillId="0" borderId="21" xfId="0" applyFont="1" applyBorder="1"/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3" xfId="0" applyFont="1" applyBorder="1" applyAlignment="1">
      <alignment horizontal="center"/>
    </xf>
    <xf numFmtId="14" fontId="13" fillId="0" borderId="52" xfId="0" applyNumberFormat="1" applyFont="1" applyBorder="1" applyAlignment="1">
      <alignment horizontal="center"/>
    </xf>
    <xf numFmtId="1" fontId="13" fillId="0" borderId="21" xfId="0" applyNumberFormat="1" applyFont="1" applyBorder="1"/>
    <xf numFmtId="0" fontId="23" fillId="0" borderId="56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2" fillId="0" borderId="52" xfId="97" applyFont="1" applyBorder="1" applyAlignment="1">
      <alignment horizontal="center" vertical="center" wrapText="1"/>
    </xf>
    <xf numFmtId="0" fontId="12" fillId="0" borderId="20" xfId="97" applyFont="1" applyBorder="1" applyAlignment="1">
      <alignment horizontal="center" vertical="center" wrapText="1"/>
    </xf>
    <xf numFmtId="0" fontId="12" fillId="0" borderId="53" xfId="97" applyFont="1" applyBorder="1" applyAlignment="1">
      <alignment horizontal="center" vertical="center" wrapText="1"/>
    </xf>
    <xf numFmtId="0" fontId="11" fillId="0" borderId="52" xfId="97" quotePrefix="1" applyFont="1" applyBorder="1" applyAlignment="1">
      <alignment horizontal="center" vertical="center"/>
    </xf>
    <xf numFmtId="4" fontId="11" fillId="0" borderId="53" xfId="97" applyNumberFormat="1" applyFont="1" applyBorder="1" applyAlignment="1">
      <alignment horizontal="left" vertical="center"/>
    </xf>
    <xf numFmtId="2" fontId="11" fillId="0" borderId="52" xfId="97" applyNumberFormat="1" applyFont="1" applyBorder="1" applyAlignment="1">
      <alignment horizontal="center" vertical="center"/>
    </xf>
    <xf numFmtId="169" fontId="11" fillId="0" borderId="20" xfId="97" applyNumberFormat="1" applyFont="1" applyBorder="1" applyAlignment="1">
      <alignment horizontal="center" vertical="center"/>
    </xf>
    <xf numFmtId="169" fontId="11" fillId="0" borderId="53" xfId="97" applyNumberFormat="1" applyFont="1" applyBorder="1" applyAlignment="1">
      <alignment horizontal="center" vertical="center"/>
    </xf>
    <xf numFmtId="0" fontId="11" fillId="0" borderId="52" xfId="97" applyFont="1" applyBorder="1" applyAlignment="1">
      <alignment horizontal="center" vertical="center"/>
    </xf>
    <xf numFmtId="2" fontId="32" fillId="0" borderId="53" xfId="97" applyNumberFormat="1" applyFont="1" applyBorder="1" applyAlignment="1">
      <alignment horizontal="center" vertical="center"/>
    </xf>
    <xf numFmtId="2" fontId="32" fillId="0" borderId="52" xfId="97" applyNumberFormat="1" applyFont="1" applyBorder="1" applyAlignment="1">
      <alignment horizontal="center" vertical="center"/>
    </xf>
    <xf numFmtId="178" fontId="32" fillId="0" borderId="20" xfId="97" applyNumberFormat="1" applyFont="1" applyBorder="1" applyAlignment="1">
      <alignment horizontal="center" vertical="center"/>
    </xf>
    <xf numFmtId="0" fontId="11" fillId="0" borderId="124" xfId="97" quotePrefix="1" applyFont="1" applyBorder="1" applyAlignment="1">
      <alignment horizontal="center" vertical="center"/>
    </xf>
    <xf numFmtId="4" fontId="11" fillId="0" borderId="66" xfId="97" applyNumberFormat="1" applyFont="1" applyBorder="1" applyAlignment="1">
      <alignment horizontal="left" vertical="center"/>
    </xf>
    <xf numFmtId="2" fontId="11" fillId="0" borderId="124" xfId="97" applyNumberFormat="1" applyFont="1" applyBorder="1" applyAlignment="1">
      <alignment horizontal="center" vertical="center"/>
    </xf>
    <xf numFmtId="169" fontId="11" fillId="0" borderId="94" xfId="97" applyNumberFormat="1" applyFont="1" applyBorder="1" applyAlignment="1">
      <alignment horizontal="center" vertical="center"/>
    </xf>
    <xf numFmtId="169" fontId="11" fillId="0" borderId="66" xfId="97" applyNumberFormat="1" applyFont="1" applyBorder="1" applyAlignment="1">
      <alignment horizontal="center" vertical="center"/>
    </xf>
    <xf numFmtId="0" fontId="11" fillId="0" borderId="124" xfId="97" applyFont="1" applyBorder="1" applyAlignment="1">
      <alignment horizontal="center" vertical="center"/>
    </xf>
    <xf numFmtId="2" fontId="32" fillId="0" borderId="66" xfId="97" applyNumberFormat="1" applyFont="1" applyBorder="1" applyAlignment="1">
      <alignment horizontal="center" vertical="center"/>
    </xf>
    <xf numFmtId="2" fontId="32" fillId="0" borderId="124" xfId="97" applyNumberFormat="1" applyFont="1" applyBorder="1" applyAlignment="1">
      <alignment horizontal="center" vertical="center"/>
    </xf>
    <xf numFmtId="2" fontId="32" fillId="0" borderId="94" xfId="97" applyNumberFormat="1" applyFont="1" applyBorder="1" applyAlignment="1">
      <alignment horizontal="center" vertical="center"/>
    </xf>
    <xf numFmtId="4" fontId="12" fillId="0" borderId="54" xfId="97" applyNumberFormat="1" applyFont="1" applyBorder="1" applyAlignment="1">
      <alignment horizontal="center" vertical="center"/>
    </xf>
    <xf numFmtId="169" fontId="11" fillId="0" borderId="55" xfId="97" applyNumberFormat="1" applyFont="1" applyBorder="1" applyAlignment="1">
      <alignment horizontal="center" vertical="center"/>
    </xf>
    <xf numFmtId="0" fontId="11" fillId="0" borderId="54" xfId="97" applyFont="1" applyBorder="1" applyAlignment="1">
      <alignment horizontal="center" vertical="center"/>
    </xf>
    <xf numFmtId="2" fontId="33" fillId="0" borderId="55" xfId="97" applyNumberFormat="1" applyFont="1" applyBorder="1" applyAlignment="1">
      <alignment horizontal="center" vertical="center"/>
    </xf>
    <xf numFmtId="4" fontId="12" fillId="0" borderId="55" xfId="97" applyNumberFormat="1" applyFont="1" applyBorder="1" applyAlignment="1">
      <alignment horizontal="center" vertical="center"/>
    </xf>
    <xf numFmtId="0" fontId="11" fillId="0" borderId="124" xfId="2" applyFont="1" applyBorder="1" applyAlignment="1">
      <alignment vertical="center"/>
    </xf>
    <xf numFmtId="0" fontId="40" fillId="3" borderId="20" xfId="1" applyFont="1" applyFill="1" applyBorder="1" applyAlignment="1">
      <alignment horizontal="center" vertical="center" wrapText="1"/>
    </xf>
    <xf numFmtId="0" fontId="41" fillId="3" borderId="20" xfId="1" applyFont="1" applyFill="1" applyBorder="1" applyAlignment="1">
      <alignment horizontal="center" vertical="center"/>
    </xf>
    <xf numFmtId="0" fontId="41" fillId="3" borderId="20" xfId="1" applyFont="1" applyFill="1" applyBorder="1" applyAlignment="1">
      <alignment vertical="center" wrapText="1" shrinkToFit="1"/>
    </xf>
    <xf numFmtId="2" fontId="41" fillId="3" borderId="20" xfId="1" applyNumberFormat="1" applyFont="1" applyFill="1" applyBorder="1" applyAlignment="1">
      <alignment horizontal="center" vertical="center"/>
    </xf>
    <xf numFmtId="173" fontId="41" fillId="3" borderId="20" xfId="1" applyNumberFormat="1" applyFont="1" applyFill="1" applyBorder="1" applyAlignment="1">
      <alignment vertical="center"/>
    </xf>
    <xf numFmtId="174" fontId="41" fillId="3" borderId="20" xfId="1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40" fillId="3" borderId="53" xfId="1" applyFont="1" applyFill="1" applyBorder="1" applyAlignment="1">
      <alignment horizontal="center" vertical="center" wrapText="1"/>
    </xf>
    <xf numFmtId="174" fontId="41" fillId="0" borderId="53" xfId="1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40" fillId="3" borderId="55" xfId="1" applyFont="1" applyFill="1" applyBorder="1" applyAlignment="1">
      <alignment horizontal="center" vertical="center"/>
    </xf>
    <xf numFmtId="174" fontId="40" fillId="3" borderId="56" xfId="1" applyNumberFormat="1" applyFont="1" applyFill="1" applyBorder="1" applyAlignment="1">
      <alignment vertical="center"/>
    </xf>
    <xf numFmtId="4" fontId="41" fillId="3" borderId="20" xfId="1" applyNumberFormat="1" applyFont="1" applyFill="1" applyBorder="1" applyAlignment="1">
      <alignment horizontal="center" vertical="center"/>
    </xf>
    <xf numFmtId="10" fontId="13" fillId="0" borderId="0" xfId="0" applyNumberFormat="1" applyFont="1" applyAlignment="1">
      <alignment vertical="center"/>
    </xf>
    <xf numFmtId="171" fontId="0" fillId="0" borderId="13" xfId="0" applyNumberFormat="1" applyBorder="1" applyAlignment="1">
      <alignment horizontal="center" vertical="center"/>
    </xf>
    <xf numFmtId="17" fontId="33" fillId="0" borderId="45" xfId="0" applyNumberFormat="1" applyFont="1" applyBorder="1" applyAlignment="1">
      <alignment horizontal="center" vertical="center"/>
    </xf>
    <xf numFmtId="17" fontId="33" fillId="0" borderId="3" xfId="0" applyNumberFormat="1" applyFont="1" applyBorder="1" applyAlignment="1">
      <alignment horizontal="center" vertical="center"/>
    </xf>
    <xf numFmtId="17" fontId="33" fillId="0" borderId="4" xfId="0" applyNumberFormat="1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59" xfId="2" applyFont="1" applyBorder="1" applyAlignment="1">
      <alignment horizontal="center" vertical="center"/>
    </xf>
    <xf numFmtId="0" fontId="10" fillId="0" borderId="52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/>
    </xf>
    <xf numFmtId="0" fontId="11" fillId="0" borderId="20" xfId="2" applyFont="1" applyBorder="1" applyAlignment="1">
      <alignment horizontal="left" vertical="center"/>
    </xf>
    <xf numFmtId="0" fontId="11" fillId="0" borderId="53" xfId="2" applyFont="1" applyBorder="1" applyAlignment="1">
      <alignment horizontal="left" vertical="center"/>
    </xf>
    <xf numFmtId="10" fontId="32" fillId="0" borderId="20" xfId="2" applyNumberFormat="1" applyFont="1" applyBorder="1" applyAlignment="1">
      <alignment horizontal="center" vertical="center"/>
    </xf>
    <xf numFmtId="4" fontId="11" fillId="0" borderId="55" xfId="2" applyNumberFormat="1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1" fillId="0" borderId="55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center" vertical="center" wrapText="1"/>
    </xf>
    <xf numFmtId="0" fontId="13" fillId="0" borderId="76" xfId="2" applyFont="1" applyBorder="1" applyAlignment="1">
      <alignment horizontal="center" vertical="center" wrapText="1"/>
    </xf>
    <xf numFmtId="0" fontId="13" fillId="0" borderId="71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34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0" fillId="0" borderId="71" xfId="2" applyFont="1" applyBorder="1" applyAlignment="1">
      <alignment horizontal="center" vertical="center"/>
    </xf>
    <xf numFmtId="0" fontId="10" fillId="0" borderId="74" xfId="2" applyFont="1" applyBorder="1" applyAlignment="1">
      <alignment horizontal="center" vertical="center"/>
    </xf>
    <xf numFmtId="0" fontId="10" fillId="0" borderId="72" xfId="2" applyFont="1" applyBorder="1" applyAlignment="1">
      <alignment horizontal="center" vertical="center"/>
    </xf>
    <xf numFmtId="0" fontId="10" fillId="0" borderId="73" xfId="2" applyFont="1" applyBorder="1" applyAlignment="1">
      <alignment horizontal="center" vertical="center"/>
    </xf>
    <xf numFmtId="4" fontId="10" fillId="0" borderId="73" xfId="2" applyNumberFormat="1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4" fontId="12" fillId="0" borderId="80" xfId="0" applyNumberFormat="1" applyFont="1" applyBorder="1" applyAlignment="1">
      <alignment horizontal="center" vertical="center"/>
    </xf>
    <xf numFmtId="4" fontId="12" fillId="0" borderId="81" xfId="0" applyNumberFormat="1" applyFont="1" applyBorder="1" applyAlignment="1">
      <alignment horizontal="center" vertical="center"/>
    </xf>
    <xf numFmtId="4" fontId="33" fillId="0" borderId="18" xfId="0" applyNumberFormat="1" applyFont="1" applyBorder="1" applyAlignment="1">
      <alignment horizontal="center" vertical="center" wrapText="1"/>
    </xf>
    <xf numFmtId="4" fontId="33" fillId="0" borderId="31" xfId="0" applyNumberFormat="1" applyFont="1" applyBorder="1" applyAlignment="1">
      <alignment horizontal="center" vertical="center" wrapText="1"/>
    </xf>
    <xf numFmtId="4" fontId="33" fillId="0" borderId="18" xfId="0" applyNumberFormat="1" applyFont="1" applyBorder="1" applyAlignment="1">
      <alignment horizontal="center" vertical="center"/>
    </xf>
    <xf numFmtId="4" fontId="33" fillId="0" borderId="3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" fontId="33" fillId="0" borderId="13" xfId="0" applyNumberFormat="1" applyFont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/>
    </xf>
    <xf numFmtId="4" fontId="12" fillId="3" borderId="31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4" fontId="32" fillId="0" borderId="46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4" fontId="12" fillId="0" borderId="55" xfId="2" applyNumberFormat="1" applyFont="1" applyBorder="1" applyAlignment="1">
      <alignment horizontal="center" vertical="center"/>
    </xf>
    <xf numFmtId="4" fontId="12" fillId="0" borderId="56" xfId="2" applyNumberFormat="1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95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2" fillId="0" borderId="57" xfId="2" applyFont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 wrapText="1"/>
    </xf>
    <xf numFmtId="0" fontId="12" fillId="0" borderId="58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59" xfId="2" applyFont="1" applyBorder="1" applyAlignment="1">
      <alignment horizontal="center" vertical="center" wrapText="1"/>
    </xf>
    <xf numFmtId="0" fontId="12" fillId="0" borderId="53" xfId="2" applyFont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2" fillId="0" borderId="57" xfId="2" applyBorder="1" applyAlignment="1">
      <alignment horizontal="center" vertical="center"/>
    </xf>
    <xf numFmtId="0" fontId="2" fillId="0" borderId="58" xfId="2" applyBorder="1" applyAlignment="1">
      <alignment horizontal="center" vertical="center"/>
    </xf>
    <xf numFmtId="0" fontId="2" fillId="0" borderId="52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10" fontId="32" fillId="0" borderId="55" xfId="2" applyNumberFormat="1" applyFont="1" applyBorder="1" applyAlignment="1">
      <alignment horizontal="center" vertical="center"/>
    </xf>
    <xf numFmtId="0" fontId="32" fillId="0" borderId="55" xfId="2" applyFont="1" applyBorder="1" applyAlignment="1">
      <alignment horizontal="center" vertical="center"/>
    </xf>
    <xf numFmtId="49" fontId="32" fillId="0" borderId="20" xfId="2" applyNumberFormat="1" applyFont="1" applyBorder="1" applyAlignment="1">
      <alignment horizontal="center" vertical="center"/>
    </xf>
    <xf numFmtId="0" fontId="32" fillId="0" borderId="20" xfId="2" applyFont="1" applyBorder="1" applyAlignment="1">
      <alignment horizontal="left" vertical="center"/>
    </xf>
    <xf numFmtId="0" fontId="32" fillId="0" borderId="20" xfId="2" applyFont="1" applyBorder="1" applyAlignment="1">
      <alignment horizontal="center" vertical="center" wrapText="1"/>
    </xf>
    <xf numFmtId="0" fontId="32" fillId="0" borderId="53" xfId="2" applyFont="1" applyBorder="1" applyAlignment="1">
      <alignment horizontal="center" vertical="center" wrapText="1"/>
    </xf>
    <xf numFmtId="0" fontId="32" fillId="0" borderId="55" xfId="2" applyFont="1" applyBorder="1" applyAlignment="1">
      <alignment horizontal="center" vertical="center" wrapText="1"/>
    </xf>
    <xf numFmtId="0" fontId="32" fillId="0" borderId="56" xfId="2" applyFont="1" applyBorder="1" applyAlignment="1">
      <alignment horizontal="center" vertical="center" wrapText="1"/>
    </xf>
    <xf numFmtId="0" fontId="2" fillId="3" borderId="57" xfId="2" applyFill="1" applyBorder="1" applyAlignment="1">
      <alignment horizontal="center" vertical="center"/>
    </xf>
    <xf numFmtId="0" fontId="2" fillId="3" borderId="58" xfId="2" applyFill="1" applyBorder="1" applyAlignment="1">
      <alignment horizontal="center" vertical="center"/>
    </xf>
    <xf numFmtId="0" fontId="2" fillId="3" borderId="52" xfId="2" applyFill="1" applyBorder="1" applyAlignment="1">
      <alignment horizontal="center" vertical="center"/>
    </xf>
    <xf numFmtId="0" fontId="2" fillId="3" borderId="20" xfId="2" applyFill="1" applyBorder="1" applyAlignment="1">
      <alignment horizontal="center" vertical="center"/>
    </xf>
    <xf numFmtId="0" fontId="2" fillId="3" borderId="21" xfId="2" applyFill="1" applyBorder="1" applyAlignment="1">
      <alignment horizontal="right" vertical="center"/>
    </xf>
    <xf numFmtId="0" fontId="2" fillId="3" borderId="23" xfId="2" applyFill="1" applyBorder="1" applyAlignment="1">
      <alignment horizontal="right" vertical="center"/>
    </xf>
    <xf numFmtId="0" fontId="2" fillId="3" borderId="21" xfId="2" applyFill="1" applyBorder="1" applyAlignment="1">
      <alignment horizontal="center" vertical="center"/>
    </xf>
    <xf numFmtId="0" fontId="2" fillId="3" borderId="23" xfId="2" applyFill="1" applyBorder="1" applyAlignment="1">
      <alignment horizontal="center" vertical="center"/>
    </xf>
    <xf numFmtId="0" fontId="3" fillId="3" borderId="60" xfId="2" applyFont="1" applyFill="1" applyBorder="1" applyAlignment="1">
      <alignment horizontal="center" vertical="center" wrapText="1"/>
    </xf>
    <xf numFmtId="0" fontId="3" fillId="3" borderId="22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/>
    </xf>
    <xf numFmtId="0" fontId="4" fillId="3" borderId="98" xfId="2" applyFont="1" applyFill="1" applyBorder="1" applyAlignment="1">
      <alignment horizontal="center" vertical="center"/>
    </xf>
    <xf numFmtId="0" fontId="4" fillId="3" borderId="63" xfId="2" applyFont="1" applyFill="1" applyBorder="1" applyAlignment="1">
      <alignment horizontal="center" vertical="center"/>
    </xf>
    <xf numFmtId="0" fontId="4" fillId="3" borderId="67" xfId="2" applyFont="1" applyFill="1" applyBorder="1" applyAlignment="1">
      <alignment horizontal="center" vertical="center"/>
    </xf>
    <xf numFmtId="0" fontId="4" fillId="3" borderId="97" xfId="2" applyFont="1" applyFill="1" applyBorder="1" applyAlignment="1">
      <alignment horizontal="center" vertical="center"/>
    </xf>
    <xf numFmtId="0" fontId="4" fillId="3" borderId="96" xfId="2" applyFont="1" applyFill="1" applyBorder="1" applyAlignment="1">
      <alignment horizontal="center" vertical="center"/>
    </xf>
    <xf numFmtId="0" fontId="4" fillId="3" borderId="83" xfId="2" applyFont="1" applyFill="1" applyBorder="1" applyAlignment="1">
      <alignment horizontal="center" vertical="center"/>
    </xf>
    <xf numFmtId="164" fontId="2" fillId="3" borderId="60" xfId="8" applyFill="1" applyBorder="1" applyAlignment="1">
      <alignment horizontal="center" vertical="center" wrapText="1"/>
    </xf>
    <xf numFmtId="164" fontId="2" fillId="3" borderId="22" xfId="8" applyFill="1" applyBorder="1" applyAlignment="1">
      <alignment horizontal="center" vertical="center" wrapText="1"/>
    </xf>
    <xf numFmtId="164" fontId="2" fillId="3" borderId="23" xfId="8" applyFill="1" applyBorder="1" applyAlignment="1">
      <alignment horizontal="center" vertical="center" wrapText="1"/>
    </xf>
    <xf numFmtId="4" fontId="2" fillId="3" borderId="60" xfId="2" applyNumberFormat="1" applyFill="1" applyBorder="1" applyAlignment="1">
      <alignment horizontal="left" vertical="center"/>
    </xf>
    <xf numFmtId="0" fontId="2" fillId="3" borderId="22" xfId="2" applyFill="1" applyBorder="1" applyAlignment="1">
      <alignment horizontal="left" vertical="center"/>
    </xf>
    <xf numFmtId="0" fontId="2" fillId="3" borderId="23" xfId="2" applyFill="1" applyBorder="1" applyAlignment="1">
      <alignment horizontal="left" vertical="center"/>
    </xf>
    <xf numFmtId="0" fontId="11" fillId="0" borderId="20" xfId="2" applyFont="1" applyBorder="1" applyAlignment="1">
      <alignment horizontal="center" vertical="center"/>
    </xf>
    <xf numFmtId="4" fontId="1" fillId="3" borderId="60" xfId="2" applyNumberFormat="1" applyFont="1" applyFill="1" applyBorder="1" applyAlignment="1">
      <alignment horizontal="left" vertical="center"/>
    </xf>
    <xf numFmtId="0" fontId="10" fillId="0" borderId="49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23" fillId="0" borderId="52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53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84" xfId="2" applyFont="1" applyBorder="1" applyAlignment="1">
      <alignment horizontal="center" vertical="center" wrapText="1"/>
    </xf>
    <xf numFmtId="0" fontId="23" fillId="0" borderId="58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0" fontId="23" fillId="0" borderId="59" xfId="2" applyFont="1" applyBorder="1" applyAlignment="1">
      <alignment horizontal="center" vertical="center" wrapText="1"/>
    </xf>
    <xf numFmtId="0" fontId="23" fillId="0" borderId="53" xfId="2" applyFont="1" applyBorder="1" applyAlignment="1">
      <alignment horizontal="center" vertical="center" wrapText="1"/>
    </xf>
    <xf numFmtId="0" fontId="23" fillId="0" borderId="54" xfId="2" applyFont="1" applyBorder="1" applyAlignment="1">
      <alignment horizontal="center" vertical="center"/>
    </xf>
    <xf numFmtId="0" fontId="23" fillId="0" borderId="55" xfId="2" applyFont="1" applyBorder="1" applyAlignment="1">
      <alignment horizontal="center" vertical="center"/>
    </xf>
    <xf numFmtId="0" fontId="11" fillId="0" borderId="21" xfId="2" applyFont="1" applyBorder="1" applyAlignment="1">
      <alignment horizontal="left" vertical="center"/>
    </xf>
    <xf numFmtId="0" fontId="11" fillId="0" borderId="55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23" fillId="0" borderId="57" xfId="2" applyFont="1" applyBorder="1" applyAlignment="1">
      <alignment horizontal="center" vertical="center"/>
    </xf>
    <xf numFmtId="0" fontId="23" fillId="0" borderId="58" xfId="2" applyFont="1" applyBorder="1" applyAlignment="1">
      <alignment horizontal="center" vertical="center"/>
    </xf>
    <xf numFmtId="0" fontId="12" fillId="0" borderId="58" xfId="2" applyFont="1" applyBorder="1" applyAlignment="1">
      <alignment horizontal="center" vertical="center"/>
    </xf>
    <xf numFmtId="0" fontId="12" fillId="0" borderId="59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 vertical="center"/>
    </xf>
    <xf numFmtId="0" fontId="12" fillId="0" borderId="57" xfId="2" applyFont="1" applyBorder="1" applyAlignment="1">
      <alignment horizontal="center" vertical="center"/>
    </xf>
    <xf numFmtId="4" fontId="13" fillId="0" borderId="55" xfId="2" applyNumberFormat="1" applyFont="1" applyBorder="1" applyAlignment="1">
      <alignment horizontal="left" vertical="center"/>
    </xf>
    <xf numFmtId="10" fontId="41" fillId="0" borderId="55" xfId="2" applyNumberFormat="1" applyFont="1" applyBorder="1" applyAlignment="1">
      <alignment horizontal="center" vertical="center"/>
    </xf>
    <xf numFmtId="0" fontId="13" fillId="0" borderId="20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13" fillId="0" borderId="53" xfId="2" applyFont="1" applyBorder="1" applyAlignment="1">
      <alignment horizontal="left" vertical="center"/>
    </xf>
    <xf numFmtId="10" fontId="41" fillId="0" borderId="20" xfId="2" applyNumberFormat="1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23" fillId="0" borderId="39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3" fillId="0" borderId="40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2" fillId="0" borderId="53" xfId="2" applyFont="1" applyBorder="1" applyAlignment="1">
      <alignment horizontal="center"/>
    </xf>
    <xf numFmtId="0" fontId="2" fillId="0" borderId="57" xfId="2" applyBorder="1" applyAlignment="1">
      <alignment horizontal="center"/>
    </xf>
    <xf numFmtId="0" fontId="2" fillId="0" borderId="58" xfId="2" applyBorder="1" applyAlignment="1">
      <alignment horizontal="center"/>
    </xf>
    <xf numFmtId="0" fontId="2" fillId="0" borderId="52" xfId="2" applyBorder="1" applyAlignment="1">
      <alignment horizontal="center"/>
    </xf>
    <xf numFmtId="0" fontId="2" fillId="0" borderId="20" xfId="2" applyBorder="1" applyAlignment="1">
      <alignment horizontal="center"/>
    </xf>
    <xf numFmtId="0" fontId="12" fillId="0" borderId="54" xfId="97" applyFont="1" applyBorder="1" applyAlignment="1">
      <alignment horizontal="center" vertical="center"/>
    </xf>
    <xf numFmtId="0" fontId="12" fillId="0" borderId="56" xfId="97" applyFont="1" applyBorder="1" applyAlignment="1">
      <alignment horizontal="center" vertical="center"/>
    </xf>
    <xf numFmtId="0" fontId="11" fillId="0" borderId="94" xfId="2" applyFont="1" applyBorder="1" applyAlignment="1">
      <alignment horizontal="center" vertical="center" wrapText="1"/>
    </xf>
    <xf numFmtId="0" fontId="11" fillId="0" borderId="66" xfId="2" applyFont="1" applyBorder="1" applyAlignment="1">
      <alignment horizontal="center" vertical="center" wrapText="1"/>
    </xf>
    <xf numFmtId="0" fontId="11" fillId="0" borderId="94" xfId="2" applyFont="1" applyBorder="1" applyAlignment="1">
      <alignment horizontal="center" vertical="center"/>
    </xf>
    <xf numFmtId="10" fontId="32" fillId="0" borderId="94" xfId="2" applyNumberFormat="1" applyFont="1" applyBorder="1" applyAlignment="1">
      <alignment horizontal="center" vertical="center"/>
    </xf>
    <xf numFmtId="10" fontId="32" fillId="0" borderId="20" xfId="2" applyNumberFormat="1" applyFont="1" applyBorder="1" applyAlignment="1">
      <alignment horizontal="center" vertical="center" wrapText="1"/>
    </xf>
    <xf numFmtId="4" fontId="11" fillId="0" borderId="94" xfId="2" applyNumberFormat="1" applyFont="1" applyBorder="1" applyAlignment="1">
      <alignment horizontal="left" vertic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10" fillId="0" borderId="91" xfId="97" applyFont="1" applyBorder="1" applyAlignment="1">
      <alignment horizontal="center" vertical="center"/>
    </xf>
    <xf numFmtId="0" fontId="10" fillId="0" borderId="92" xfId="97" applyFont="1" applyBorder="1" applyAlignment="1">
      <alignment horizontal="center" vertical="center"/>
    </xf>
    <xf numFmtId="0" fontId="10" fillId="0" borderId="93" xfId="97" applyFont="1" applyBorder="1" applyAlignment="1">
      <alignment horizontal="center" vertical="center"/>
    </xf>
    <xf numFmtId="0" fontId="12" fillId="0" borderId="57" xfId="97" applyFont="1" applyBorder="1" applyAlignment="1">
      <alignment horizontal="center" vertical="center"/>
    </xf>
    <xf numFmtId="0" fontId="12" fillId="0" borderId="58" xfId="97" applyFont="1" applyBorder="1" applyAlignment="1">
      <alignment horizontal="center" vertical="center"/>
    </xf>
    <xf numFmtId="0" fontId="12" fillId="0" borderId="59" xfId="97" applyFont="1" applyBorder="1" applyAlignment="1">
      <alignment horizontal="center" vertical="center"/>
    </xf>
    <xf numFmtId="0" fontId="12" fillId="0" borderId="52" xfId="97" applyFont="1" applyBorder="1" applyAlignment="1">
      <alignment horizontal="center" vertical="center"/>
    </xf>
    <xf numFmtId="0" fontId="12" fillId="0" borderId="53" xfId="97" applyFont="1" applyBorder="1" applyAlignment="1">
      <alignment horizontal="center" vertical="center"/>
    </xf>
    <xf numFmtId="0" fontId="12" fillId="0" borderId="58" xfId="97" applyFont="1" applyBorder="1" applyAlignment="1">
      <alignment horizontal="center" vertical="center" wrapText="1"/>
    </xf>
    <xf numFmtId="0" fontId="12" fillId="0" borderId="20" xfId="97" applyFont="1" applyBorder="1" applyAlignment="1">
      <alignment horizontal="center" vertical="center" wrapText="1"/>
    </xf>
    <xf numFmtId="0" fontId="12" fillId="0" borderId="59" xfId="97" applyFont="1" applyBorder="1" applyAlignment="1">
      <alignment horizontal="center" vertical="center" wrapText="1"/>
    </xf>
    <xf numFmtId="0" fontId="12" fillId="0" borderId="53" xfId="97" applyFont="1" applyBorder="1" applyAlignment="1">
      <alignment horizontal="center" vertical="center" wrapText="1"/>
    </xf>
    <xf numFmtId="0" fontId="12" fillId="0" borderId="60" xfId="97" applyFont="1" applyBorder="1" applyAlignment="1">
      <alignment horizontal="center" vertical="center"/>
    </xf>
    <xf numFmtId="0" fontId="12" fillId="0" borderId="22" xfId="97" applyFont="1" applyBorder="1" applyAlignment="1">
      <alignment horizontal="center" vertical="center"/>
    </xf>
    <xf numFmtId="0" fontId="12" fillId="0" borderId="61" xfId="97" applyFont="1" applyBorder="1" applyAlignment="1">
      <alignment horizontal="center" vertical="center"/>
    </xf>
    <xf numFmtId="0" fontId="12" fillId="0" borderId="57" xfId="97" applyFont="1" applyBorder="1" applyAlignment="1">
      <alignment horizontal="center" vertical="center" wrapText="1"/>
    </xf>
    <xf numFmtId="0" fontId="12" fillId="0" borderId="52" xfId="97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2" fillId="0" borderId="54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32" fillId="0" borderId="52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40" fillId="3" borderId="80" xfId="1" applyFont="1" applyFill="1" applyBorder="1" applyAlignment="1">
      <alignment horizontal="center" vertical="center"/>
    </xf>
    <xf numFmtId="0" fontId="40" fillId="3" borderId="36" xfId="1" applyFont="1" applyFill="1" applyBorder="1" applyAlignment="1">
      <alignment horizontal="center" vertical="center"/>
    </xf>
    <xf numFmtId="0" fontId="40" fillId="3" borderId="79" xfId="1" applyFont="1" applyFill="1" applyBorder="1" applyAlignment="1">
      <alignment horizontal="center" vertical="center"/>
    </xf>
    <xf numFmtId="0" fontId="40" fillId="3" borderId="34" xfId="1" applyFont="1" applyFill="1" applyBorder="1" applyAlignment="1">
      <alignment horizontal="center" vertical="center"/>
    </xf>
    <xf numFmtId="0" fontId="40" fillId="3" borderId="85" xfId="1" applyFont="1" applyFill="1" applyBorder="1" applyAlignment="1">
      <alignment horizontal="center" vertical="center"/>
    </xf>
    <xf numFmtId="0" fontId="40" fillId="3" borderId="86" xfId="1" applyFont="1" applyFill="1" applyBorder="1" applyAlignment="1">
      <alignment horizontal="center" vertical="center"/>
    </xf>
    <xf numFmtId="0" fontId="40" fillId="3" borderId="18" xfId="1" applyFont="1" applyFill="1" applyBorder="1" applyAlignment="1">
      <alignment horizontal="left" vertical="center"/>
    </xf>
    <xf numFmtId="0" fontId="40" fillId="3" borderId="6" xfId="1" applyFont="1" applyFill="1" applyBorder="1" applyAlignment="1">
      <alignment horizontal="left" vertical="center"/>
    </xf>
    <xf numFmtId="0" fontId="40" fillId="3" borderId="17" xfId="1" applyFont="1" applyFill="1" applyBorder="1" applyAlignment="1">
      <alignment horizontal="left" vertical="center"/>
    </xf>
    <xf numFmtId="0" fontId="40" fillId="3" borderId="80" xfId="1" applyFont="1" applyFill="1" applyBorder="1" applyAlignment="1">
      <alignment horizontal="left" vertical="center"/>
    </xf>
    <xf numFmtId="0" fontId="40" fillId="3" borderId="36" xfId="1" applyFont="1" applyFill="1" applyBorder="1" applyAlignment="1">
      <alignment horizontal="left" vertical="center"/>
    </xf>
    <xf numFmtId="0" fontId="40" fillId="3" borderId="79" xfId="1" applyFont="1" applyFill="1" applyBorder="1" applyAlignment="1">
      <alignment horizontal="left" vertical="center"/>
    </xf>
    <xf numFmtId="0" fontId="41" fillId="3" borderId="1" xfId="1" applyFont="1" applyFill="1" applyBorder="1" applyAlignment="1">
      <alignment horizontal="center" vertical="center"/>
    </xf>
    <xf numFmtId="0" fontId="41" fillId="3" borderId="0" xfId="1" applyFont="1" applyFill="1" applyAlignment="1">
      <alignment horizontal="center" vertical="center"/>
    </xf>
    <xf numFmtId="0" fontId="41" fillId="3" borderId="2" xfId="1" applyFont="1" applyFill="1" applyBorder="1" applyAlignment="1">
      <alignment horizontal="center" vertical="center"/>
    </xf>
    <xf numFmtId="0" fontId="41" fillId="3" borderId="18" xfId="1" applyFont="1" applyFill="1" applyBorder="1" applyAlignment="1">
      <alignment horizontal="left" vertical="center" wrapText="1" shrinkToFit="1"/>
    </xf>
    <xf numFmtId="0" fontId="41" fillId="3" borderId="6" xfId="1" applyFont="1" applyFill="1" applyBorder="1" applyAlignment="1">
      <alignment horizontal="left" vertical="center" wrapText="1" shrinkToFit="1"/>
    </xf>
    <xf numFmtId="0" fontId="41" fillId="3" borderId="17" xfId="1" applyFont="1" applyFill="1" applyBorder="1" applyAlignment="1">
      <alignment horizontal="left" vertical="center" wrapText="1" shrinkToFit="1"/>
    </xf>
    <xf numFmtId="0" fontId="41" fillId="3" borderId="18" xfId="1" applyFont="1" applyFill="1" applyBorder="1" applyAlignment="1">
      <alignment horizontal="left" vertical="center"/>
    </xf>
    <xf numFmtId="0" fontId="41" fillId="3" borderId="6" xfId="1" applyFont="1" applyFill="1" applyBorder="1" applyAlignment="1">
      <alignment horizontal="left" vertical="center"/>
    </xf>
    <xf numFmtId="0" fontId="41" fillId="3" borderId="17" xfId="1" applyFont="1" applyFill="1" applyBorder="1" applyAlignment="1">
      <alignment horizontal="left" vertical="center"/>
    </xf>
    <xf numFmtId="0" fontId="27" fillId="0" borderId="28" xfId="1" applyFont="1" applyBorder="1" applyAlignment="1">
      <alignment horizontal="left" vertical="center"/>
    </xf>
    <xf numFmtId="0" fontId="27" fillId="0" borderId="29" xfId="1" applyFont="1" applyBorder="1" applyAlignment="1">
      <alignment horizontal="left" vertical="center"/>
    </xf>
    <xf numFmtId="0" fontId="27" fillId="0" borderId="30" xfId="1" applyFont="1" applyBorder="1" applyAlignment="1">
      <alignment horizontal="left" vertical="center"/>
    </xf>
    <xf numFmtId="0" fontId="27" fillId="0" borderId="12" xfId="1" applyFont="1" applyBorder="1" applyAlignment="1">
      <alignment horizontal="left" vertical="center"/>
    </xf>
    <xf numFmtId="0" fontId="27" fillId="0" borderId="11" xfId="1" applyFont="1" applyBorder="1" applyAlignment="1">
      <alignment horizontal="left" vertical="center"/>
    </xf>
    <xf numFmtId="0" fontId="27" fillId="0" borderId="24" xfId="1" applyFont="1" applyBorder="1" applyAlignment="1">
      <alignment horizontal="left" vertical="center"/>
    </xf>
    <xf numFmtId="0" fontId="27" fillId="0" borderId="92" xfId="1" applyFont="1" applyBorder="1" applyAlignment="1">
      <alignment horizontal="left" vertical="center"/>
    </xf>
    <xf numFmtId="0" fontId="27" fillId="0" borderId="93" xfId="1" applyFont="1" applyBorder="1" applyAlignment="1">
      <alignment horizontal="left" vertical="center"/>
    </xf>
    <xf numFmtId="0" fontId="40" fillId="3" borderId="15" xfId="1" applyFont="1" applyFill="1" applyBorder="1" applyAlignment="1">
      <alignment horizontal="center" vertical="center"/>
    </xf>
    <xf numFmtId="0" fontId="40" fillId="3" borderId="38" xfId="1" applyFont="1" applyFill="1" applyBorder="1" applyAlignment="1">
      <alignment horizontal="center" vertical="center"/>
    </xf>
    <xf numFmtId="0" fontId="40" fillId="3" borderId="16" xfId="1" applyFont="1" applyFill="1" applyBorder="1" applyAlignment="1">
      <alignment horizontal="center" vertical="center"/>
    </xf>
    <xf numFmtId="0" fontId="10" fillId="0" borderId="28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0" fillId="0" borderId="2" xfId="2" applyFont="1" applyBorder="1" applyAlignment="1">
      <alignment horizontal="left"/>
    </xf>
    <xf numFmtId="0" fontId="23" fillId="0" borderId="55" xfId="2" applyFont="1" applyBorder="1" applyAlignment="1">
      <alignment horizontal="center" vertical="center" wrapText="1"/>
    </xf>
    <xf numFmtId="0" fontId="23" fillId="0" borderId="56" xfId="2" applyFont="1" applyBorder="1" applyAlignment="1">
      <alignment horizontal="center" vertical="center" wrapText="1"/>
    </xf>
    <xf numFmtId="10" fontId="34" fillId="0" borderId="55" xfId="2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0" fontId="11" fillId="0" borderId="53" xfId="2" applyNumberFormat="1" applyFont="1" applyBorder="1" applyAlignment="1">
      <alignment horizontal="center" vertical="center" wrapText="1"/>
    </xf>
    <xf numFmtId="10" fontId="11" fillId="0" borderId="56" xfId="2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right" vertical="center"/>
    </xf>
    <xf numFmtId="49" fontId="11" fillId="0" borderId="55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0" fontId="12" fillId="0" borderId="53" xfId="5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4" fontId="11" fillId="3" borderId="55" xfId="0" applyNumberFormat="1" applyFont="1" applyFill="1" applyBorder="1" applyAlignment="1">
      <alignment horizontal="left" vertical="center"/>
    </xf>
    <xf numFmtId="10" fontId="12" fillId="0" borderId="53" xfId="5" applyNumberFormat="1" applyFont="1" applyBorder="1" applyAlignment="1">
      <alignment horizontal="right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9" fillId="0" borderId="120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right" vertical="center"/>
    </xf>
    <xf numFmtId="0" fontId="4" fillId="2" borderId="55" xfId="0" applyFont="1" applyFill="1" applyBorder="1" applyAlignment="1">
      <alignment horizontal="righ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3" fillId="2" borderId="41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11" fillId="0" borderId="22" xfId="2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4" fontId="11" fillId="0" borderId="84" xfId="2" applyNumberFormat="1" applyFont="1" applyBorder="1" applyAlignment="1">
      <alignment horizontal="left" vertical="center"/>
    </xf>
    <xf numFmtId="4" fontId="11" fillId="0" borderId="70" xfId="2" applyNumberFormat="1" applyFont="1" applyBorder="1" applyAlignment="1">
      <alignment horizontal="left" vertical="center"/>
    </xf>
    <xf numFmtId="4" fontId="11" fillId="0" borderId="119" xfId="2" applyNumberFormat="1" applyFont="1" applyBorder="1" applyAlignment="1">
      <alignment horizontal="left" vertical="center"/>
    </xf>
    <xf numFmtId="0" fontId="11" fillId="0" borderId="26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62" xfId="2" applyFont="1" applyBorder="1" applyAlignment="1">
      <alignment horizontal="center" vertical="center" wrapText="1"/>
    </xf>
    <xf numFmtId="0" fontId="11" fillId="0" borderId="10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0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32" fillId="0" borderId="52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33" fillId="0" borderId="57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4" fontId="11" fillId="0" borderId="55" xfId="0" applyNumberFormat="1" applyFont="1" applyBorder="1" applyAlignment="1">
      <alignment horizontal="left" vertical="center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12" fillId="0" borderId="6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2" fillId="0" borderId="5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27" fillId="0" borderId="58" xfId="1" applyFont="1" applyBorder="1" applyAlignment="1">
      <alignment horizontal="left" vertical="center"/>
    </xf>
    <xf numFmtId="0" fontId="27" fillId="0" borderId="59" xfId="1" applyFont="1" applyBorder="1" applyAlignment="1">
      <alignment horizontal="left" vertical="center"/>
    </xf>
    <xf numFmtId="0" fontId="40" fillId="3" borderId="55" xfId="1" applyFont="1" applyFill="1" applyBorder="1" applyAlignment="1">
      <alignment horizontal="center" vertical="center"/>
    </xf>
    <xf numFmtId="0" fontId="10" fillId="0" borderId="91" xfId="2" applyFont="1" applyBorder="1" applyAlignment="1">
      <alignment horizontal="center" vertical="center"/>
    </xf>
    <xf numFmtId="0" fontId="10" fillId="0" borderId="92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0" fontId="10" fillId="0" borderId="93" xfId="2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3" borderId="91" xfId="2" applyFont="1" applyFill="1" applyBorder="1" applyAlignment="1">
      <alignment horizontal="center" vertical="center"/>
    </xf>
    <xf numFmtId="0" fontId="4" fillId="3" borderId="92" xfId="2" applyFont="1" applyFill="1" applyBorder="1" applyAlignment="1">
      <alignment horizontal="center" vertical="center"/>
    </xf>
    <xf numFmtId="0" fontId="4" fillId="3" borderId="93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left" vertical="center"/>
    </xf>
    <xf numFmtId="0" fontId="5" fillId="0" borderId="53" xfId="2" applyFont="1" applyBorder="1" applyAlignment="1">
      <alignment horizontal="left" vertical="center"/>
    </xf>
    <xf numFmtId="0" fontId="13" fillId="0" borderId="20" xfId="2" applyFont="1" applyBorder="1" applyAlignment="1">
      <alignment horizontal="center" vertical="center"/>
    </xf>
    <xf numFmtId="0" fontId="27" fillId="0" borderId="37" xfId="1" applyFont="1" applyBorder="1" applyAlignment="1">
      <alignment horizontal="left" vertical="center" wrapText="1"/>
    </xf>
    <xf numFmtId="0" fontId="27" fillId="0" borderId="85" xfId="1" applyFont="1" applyBorder="1" applyAlignment="1">
      <alignment horizontal="left" vertical="center" wrapText="1"/>
    </xf>
    <xf numFmtId="0" fontId="27" fillId="0" borderId="99" xfId="1" applyFont="1" applyBorder="1" applyAlignment="1">
      <alignment horizontal="left" vertical="center" wrapText="1"/>
    </xf>
    <xf numFmtId="0" fontId="27" fillId="0" borderId="37" xfId="1" applyFont="1" applyBorder="1" applyAlignment="1">
      <alignment horizontal="left" vertical="center"/>
    </xf>
    <xf numFmtId="0" fontId="27" fillId="0" borderId="85" xfId="1" applyFont="1" applyBorder="1" applyAlignment="1">
      <alignment horizontal="left" vertical="center"/>
    </xf>
    <xf numFmtId="0" fontId="27" fillId="0" borderId="99" xfId="1" applyFont="1" applyBorder="1" applyAlignment="1">
      <alignment horizontal="left" vertical="center"/>
    </xf>
    <xf numFmtId="0" fontId="27" fillId="34" borderId="92" xfId="1" applyFont="1" applyFill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left" vertical="center"/>
    </xf>
    <xf numFmtId="49" fontId="23" fillId="0" borderId="61" xfId="0" applyNumberFormat="1" applyFont="1" applyBorder="1" applyAlignment="1">
      <alignment horizontal="left" vertical="center"/>
    </xf>
    <xf numFmtId="0" fontId="23" fillId="0" borderId="20" xfId="97" applyFont="1" applyBorder="1" applyAlignment="1">
      <alignment horizontal="left" vertical="center"/>
    </xf>
    <xf numFmtId="0" fontId="23" fillId="0" borderId="53" xfId="97" applyFont="1" applyBorder="1" applyAlignment="1">
      <alignment horizontal="left" vertical="center"/>
    </xf>
    <xf numFmtId="0" fontId="23" fillId="0" borderId="20" xfId="97" applyFont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/>
    </xf>
    <xf numFmtId="0" fontId="12" fillId="8" borderId="59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right"/>
    </xf>
    <xf numFmtId="0" fontId="32" fillId="3" borderId="1" xfId="1" applyFont="1" applyFill="1" applyBorder="1" applyAlignment="1">
      <alignment horizontal="center" vertical="center" wrapText="1"/>
    </xf>
    <xf numFmtId="0" fontId="32" fillId="3" borderId="0" xfId="1" applyFont="1" applyFill="1" applyAlignment="1">
      <alignment horizontal="center" vertical="center" wrapText="1"/>
    </xf>
    <xf numFmtId="0" fontId="58" fillId="0" borderId="49" xfId="1" applyFont="1" applyBorder="1" applyAlignment="1">
      <alignment horizontal="center" vertical="center"/>
    </xf>
    <xf numFmtId="0" fontId="58" fillId="0" borderId="64" xfId="1" applyFont="1" applyBorder="1" applyAlignment="1">
      <alignment horizontal="center" vertical="center"/>
    </xf>
    <xf numFmtId="0" fontId="58" fillId="0" borderId="121" xfId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59" fillId="8" borderId="57" xfId="0" applyFont="1" applyFill="1" applyBorder="1" applyAlignment="1">
      <alignment horizontal="center" vertical="center"/>
    </xf>
    <xf numFmtId="0" fontId="59" fillId="8" borderId="58" xfId="0" applyFont="1" applyFill="1" applyBorder="1" applyAlignment="1">
      <alignment horizontal="center" vertical="center"/>
    </xf>
    <xf numFmtId="0" fontId="59" fillId="8" borderId="5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20" xfId="2" applyFont="1" applyBorder="1" applyAlignment="1">
      <alignment horizontal="left" vertical="center"/>
    </xf>
    <xf numFmtId="0" fontId="3" fillId="0" borderId="53" xfId="2" applyFont="1" applyBorder="1" applyAlignment="1">
      <alignment horizontal="left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0" xfId="0" applyBorder="1" applyAlignment="1">
      <alignment horizontal="center"/>
    </xf>
    <xf numFmtId="0" fontId="40" fillId="0" borderId="29" xfId="1" applyFont="1" applyBorder="1" applyAlignment="1">
      <alignment horizontal="center" wrapText="1"/>
    </xf>
    <xf numFmtId="0" fontId="40" fillId="0" borderId="29" xfId="1" applyFont="1" applyBorder="1" applyAlignment="1">
      <alignment horizontal="center"/>
    </xf>
    <xf numFmtId="0" fontId="34" fillId="0" borderId="28" xfId="1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/>
    </xf>
    <xf numFmtId="0" fontId="34" fillId="0" borderId="30" xfId="1" applyFont="1" applyBorder="1" applyAlignment="1">
      <alignment horizontal="center" vertical="center"/>
    </xf>
    <xf numFmtId="0" fontId="34" fillId="0" borderId="45" xfId="1" applyFont="1" applyBorder="1" applyAlignment="1">
      <alignment horizontal="center" vertical="center"/>
    </xf>
    <xf numFmtId="0" fontId="34" fillId="0" borderId="3" xfId="1" applyFont="1" applyBorder="1" applyAlignment="1">
      <alignment horizontal="center" vertical="center"/>
    </xf>
    <xf numFmtId="0" fontId="34" fillId="0" borderId="4" xfId="1" applyFont="1" applyBorder="1" applyAlignment="1">
      <alignment horizontal="center" vertical="center"/>
    </xf>
    <xf numFmtId="0" fontId="40" fillId="0" borderId="0" xfId="1" applyFont="1" applyAlignment="1">
      <alignment horizontal="center"/>
    </xf>
    <xf numFmtId="0" fontId="40" fillId="0" borderId="0" xfId="1" applyFont="1" applyAlignment="1">
      <alignment horizontal="center" wrapText="1"/>
    </xf>
    <xf numFmtId="40" fontId="49" fillId="0" borderId="20" xfId="7" applyNumberFormat="1" applyFont="1" applyBorder="1" applyAlignment="1">
      <alignment horizontal="center"/>
    </xf>
    <xf numFmtId="40" fontId="47" fillId="0" borderId="20" xfId="7" applyNumberFormat="1" applyFont="1" applyBorder="1" applyAlignment="1">
      <alignment horizontal="center"/>
    </xf>
    <xf numFmtId="40" fontId="31" fillId="0" borderId="66" xfId="0" applyNumberFormat="1" applyFont="1" applyBorder="1" applyAlignment="1">
      <alignment horizontal="center" vertical="center"/>
    </xf>
    <xf numFmtId="40" fontId="31" fillId="0" borderId="67" xfId="0" applyNumberFormat="1" applyFont="1" applyBorder="1" applyAlignment="1">
      <alignment horizontal="center" vertical="center"/>
    </xf>
    <xf numFmtId="40" fontId="49" fillId="0" borderId="66" xfId="7" applyNumberFormat="1" applyFont="1" applyBorder="1" applyAlignment="1">
      <alignment horizontal="center" vertical="center"/>
    </xf>
    <xf numFmtId="40" fontId="49" fillId="0" borderId="51" xfId="7" applyNumberFormat="1" applyFont="1" applyBorder="1" applyAlignment="1">
      <alignment horizontal="center" vertical="center"/>
    </xf>
    <xf numFmtId="175" fontId="31" fillId="0" borderId="20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" fontId="49" fillId="0" borderId="52" xfId="0" applyNumberFormat="1" applyFont="1" applyBorder="1" applyAlignment="1">
      <alignment horizontal="left"/>
    </xf>
    <xf numFmtId="1" fontId="49" fillId="0" borderId="20" xfId="0" applyNumberFormat="1" applyFont="1" applyBorder="1" applyAlignment="1">
      <alignment horizontal="left"/>
    </xf>
    <xf numFmtId="40" fontId="49" fillId="0" borderId="20" xfId="7" applyNumberFormat="1" applyFont="1" applyBorder="1" applyAlignment="1">
      <alignment horizontal="right"/>
    </xf>
    <xf numFmtId="40" fontId="47" fillId="0" borderId="20" xfId="7" applyNumberFormat="1" applyFont="1" applyBorder="1" applyAlignment="1">
      <alignment horizontal="right" vertical="center"/>
    </xf>
    <xf numFmtId="1" fontId="49" fillId="0" borderId="60" xfId="0" applyNumberFormat="1" applyFont="1" applyBorder="1" applyAlignment="1">
      <alignment horizontal="left"/>
    </xf>
    <xf numFmtId="1" fontId="47" fillId="0" borderId="57" xfId="0" applyNumberFormat="1" applyFont="1" applyBorder="1" applyAlignment="1">
      <alignment horizontal="center"/>
    </xf>
    <xf numFmtId="1" fontId="47" fillId="0" borderId="54" xfId="0" applyNumberFormat="1" applyFont="1" applyBorder="1" applyAlignment="1">
      <alignment horizontal="center"/>
    </xf>
    <xf numFmtId="1" fontId="47" fillId="0" borderId="48" xfId="0" applyNumberFormat="1" applyFont="1" applyBorder="1" applyAlignment="1">
      <alignment horizontal="left" vertical="center"/>
    </xf>
    <xf numFmtId="1" fontId="47" fillId="0" borderId="63" xfId="0" applyNumberFormat="1" applyFont="1" applyBorder="1" applyAlignment="1">
      <alignment horizontal="left" vertical="center"/>
    </xf>
    <xf numFmtId="40" fontId="47" fillId="0" borderId="48" xfId="7" applyNumberFormat="1" applyFont="1" applyBorder="1" applyAlignment="1">
      <alignment horizontal="center" vertical="center"/>
    </xf>
    <xf numFmtId="40" fontId="47" fillId="0" borderId="63" xfId="7" applyNumberFormat="1" applyFont="1" applyBorder="1" applyAlignment="1">
      <alignment horizontal="center" vertical="center"/>
    </xf>
    <xf numFmtId="167" fontId="47" fillId="0" borderId="55" xfId="7" quotePrefix="1" applyNumberFormat="1" applyFont="1" applyBorder="1" applyAlignment="1">
      <alignment vertical="center"/>
    </xf>
    <xf numFmtId="167" fontId="47" fillId="0" borderId="55" xfId="7" quotePrefix="1" applyNumberFormat="1" applyFont="1" applyBorder="1" applyAlignment="1">
      <alignment horizontal="center"/>
    </xf>
    <xf numFmtId="40" fontId="48" fillId="0" borderId="49" xfId="7" applyNumberFormat="1" applyFont="1" applyBorder="1" applyAlignment="1">
      <alignment horizontal="center"/>
    </xf>
    <xf numFmtId="40" fontId="48" fillId="0" borderId="64" xfId="7" applyNumberFormat="1" applyFont="1" applyBorder="1" applyAlignment="1">
      <alignment horizontal="center"/>
    </xf>
  </cellXfs>
  <cellStyles count="98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Ênfase1 2" xfId="20"/>
    <cellStyle name="20% - Ênfase2 2" xfId="21"/>
    <cellStyle name="20% - Ênfase3 2" xfId="22"/>
    <cellStyle name="20% - Ênfase4 2" xfId="23"/>
    <cellStyle name="20% - Ênfase5 2" xfId="24"/>
    <cellStyle name="20% - Ênfase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Ênfase1 2" xfId="32"/>
    <cellStyle name="40% - Ênfase2 2" xfId="33"/>
    <cellStyle name="40% - Ênfase3 2" xfId="34"/>
    <cellStyle name="40% - Ênfase4 2" xfId="35"/>
    <cellStyle name="40% - Ênfase5 2" xfId="36"/>
    <cellStyle name="40% - Ênfase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Ênfase1 2" xfId="44"/>
    <cellStyle name="60% - Ênfase2 2" xfId="45"/>
    <cellStyle name="60% - Ênfase3 2" xfId="46"/>
    <cellStyle name="60% - Ênfase4 2" xfId="47"/>
    <cellStyle name="60% - Ênfase5 2" xfId="48"/>
    <cellStyle name="60% - Ênfase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om 2" xfId="57"/>
    <cellStyle name="Calculation" xfId="58"/>
    <cellStyle name="Cálculo 2" xfId="59"/>
    <cellStyle name="Célula de Verificação 2" xfId="60"/>
    <cellStyle name="Célula Vinculada 2" xfId="61"/>
    <cellStyle name="Check Cell" xfId="62"/>
    <cellStyle name="Ênfase1 2" xfId="63"/>
    <cellStyle name="Ênfase2 2" xfId="64"/>
    <cellStyle name="Ênfase3 2" xfId="65"/>
    <cellStyle name="Ênfase4 2" xfId="66"/>
    <cellStyle name="Ênfase5 2" xfId="67"/>
    <cellStyle name="Ênfase6 2" xfId="68"/>
    <cellStyle name="Entrada 2" xfId="69"/>
    <cellStyle name="Excel Built-in Normal" xfId="1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to 2" xfId="76"/>
    <cellStyle name="Input" xfId="77"/>
    <cellStyle name="Linked Cell" xfId="78"/>
    <cellStyle name="Moeda 3" xfId="13"/>
    <cellStyle name="Neutra 2" xfId="79"/>
    <cellStyle name="Neutral" xfId="80"/>
    <cellStyle name="Normal" xfId="0" builtinId="0"/>
    <cellStyle name="Normal 2" xfId="2"/>
    <cellStyle name="Normal 2 2" xfId="97"/>
    <cellStyle name="Normal 3" xfId="3"/>
    <cellStyle name="Normal 4" xfId="95"/>
    <cellStyle name="Normal_Plhanilhas  750" xfId="4"/>
    <cellStyle name="Normal_Plhanilhas  750 2" xfId="12"/>
    <cellStyle name="Nota 2" xfId="81"/>
    <cellStyle name="Nota 3" xfId="96"/>
    <cellStyle name="Note" xfId="82"/>
    <cellStyle name="Output" xfId="83"/>
    <cellStyle name="Porcentagem" xfId="5" builtinId="5"/>
    <cellStyle name="Porcentagem 2" xfId="6"/>
    <cellStyle name="Saída 2" xfId="84"/>
    <cellStyle name="Separador de milhares 2" xfId="8"/>
    <cellStyle name="Separador de milhares 3" xfId="9"/>
    <cellStyle name="Separador de milhares 4" xfId="10"/>
    <cellStyle name="Texto de Aviso 2" xfId="85"/>
    <cellStyle name="Texto Explicativo 2" xfId="86"/>
    <cellStyle name="Title" xfId="87"/>
    <cellStyle name="Título 1 2" xfId="89"/>
    <cellStyle name="Título 2 2" xfId="90"/>
    <cellStyle name="Título 3 2" xfId="91"/>
    <cellStyle name="Título 4 2" xfId="92"/>
    <cellStyle name="Título 5" xfId="88"/>
    <cellStyle name="Total 2" xfId="93"/>
    <cellStyle name="Vírgula" xfId="7" builtinId="3"/>
    <cellStyle name="Vírgula 2" xfId="11"/>
    <cellStyle name="Warning Text" xfId="9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2</xdr:col>
      <xdr:colOff>2676525</xdr:colOff>
      <xdr:row>22</xdr:row>
      <xdr:rowOff>161925</xdr:rowOff>
    </xdr:to>
    <xdr:sp macro="" textlink="">
      <xdr:nvSpPr>
        <xdr:cNvPr id="6145" name="AutoShape 1">
          <a:extLst>
            <a:ext uri="{FF2B5EF4-FFF2-40B4-BE49-F238E27FC236}">
              <a16:creationId xmlns:a16="http://schemas.microsoft.com/office/drawing/2014/main" xmlns="" id="{00000000-0008-0000-12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180975" y="4381500"/>
          <a:ext cx="5095875" cy="9048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2676525</xdr:colOff>
      <xdr:row>22</xdr:row>
      <xdr:rowOff>161925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0975" y="4381500"/>
          <a:ext cx="5095875" cy="9048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752476</xdr:colOff>
      <xdr:row>21</xdr:row>
      <xdr:rowOff>161925</xdr:rowOff>
    </xdr:from>
    <xdr:to>
      <xdr:col>2</xdr:col>
      <xdr:colOff>1435827</xdr:colOff>
      <xdr:row>31</xdr:row>
      <xdr:rowOff>76200</xdr:rowOff>
    </xdr:to>
    <xdr:pic>
      <xdr:nvPicPr>
        <xdr:cNvPr id="6" name="Picture 16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6" y="6162675"/>
          <a:ext cx="3931376" cy="1800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72353</xdr:colOff>
      <xdr:row>10</xdr:row>
      <xdr:rowOff>128374</xdr:rowOff>
    </xdr:from>
    <xdr:to>
      <xdr:col>8</xdr:col>
      <xdr:colOff>828552</xdr:colOff>
      <xdr:row>17</xdr:row>
      <xdr:rowOff>41624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53" y="2707451"/>
          <a:ext cx="8889084" cy="10415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137471</xdr:colOff>
      <xdr:row>31</xdr:row>
      <xdr:rowOff>13924</xdr:rowOff>
    </xdr:from>
    <xdr:to>
      <xdr:col>8</xdr:col>
      <xdr:colOff>861823</xdr:colOff>
      <xdr:row>47</xdr:row>
      <xdr:rowOff>80599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471" y="6249136"/>
          <a:ext cx="8857237" cy="26457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33618</xdr:colOff>
      <xdr:row>47</xdr:row>
      <xdr:rowOff>112060</xdr:rowOff>
    </xdr:from>
    <xdr:to>
      <xdr:col>9</xdr:col>
      <xdr:colOff>93094</xdr:colOff>
      <xdr:row>65</xdr:row>
      <xdr:rowOff>178925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7989795"/>
          <a:ext cx="9222441" cy="2890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SheetLayoutView="100" workbookViewId="0">
      <selection activeCell="B10" sqref="B10:Q16"/>
    </sheetView>
  </sheetViews>
  <sheetFormatPr defaultRowHeight="15.75" x14ac:dyDescent="0.2"/>
  <cols>
    <col min="1" max="1" width="11.85546875" style="292" customWidth="1"/>
    <col min="2" max="2" width="39.5703125" style="292" customWidth="1"/>
    <col min="3" max="3" width="8.7109375" style="292" customWidth="1"/>
    <col min="4" max="7" width="9" style="292" bestFit="1" customWidth="1"/>
    <col min="8" max="8" width="8.7109375" style="292" customWidth="1"/>
    <col min="9" max="9" width="7.85546875" style="292" customWidth="1"/>
    <col min="10" max="10" width="9.5703125" style="292" customWidth="1"/>
    <col min="11" max="11" width="9.28515625" style="292" customWidth="1"/>
    <col min="12" max="12" width="8.42578125" style="292" customWidth="1"/>
    <col min="13" max="14" width="8.85546875" style="292" customWidth="1"/>
    <col min="15" max="15" width="9.42578125" style="292" customWidth="1"/>
    <col min="16" max="16" width="10.42578125" style="292" customWidth="1"/>
    <col min="17" max="17" width="11.85546875" style="292" customWidth="1"/>
    <col min="18" max="18" width="9.140625" style="292"/>
    <col min="19" max="19" width="14.5703125" style="292" bestFit="1" customWidth="1"/>
    <col min="20" max="16384" width="9.140625" style="292"/>
  </cols>
  <sheetData>
    <row r="1" spans="1:18" ht="22.5" customHeight="1" x14ac:dyDescent="0.2">
      <c r="A1" s="870" t="str">
        <f>Terrap.!C1</f>
        <v>ESTADO DE MATO GROSSO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2"/>
    </row>
    <row r="2" spans="1:18" ht="22.5" customHeight="1" x14ac:dyDescent="0.2">
      <c r="A2" s="873" t="str">
        <f>Terrap.!C2</f>
        <v>PREFEITURA MUNICIPAL DE JACIARA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5"/>
    </row>
    <row r="3" spans="1:18" s="468" customFormat="1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7"/>
    </row>
    <row r="4" spans="1:18" s="468" customFormat="1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80" t="str">
        <f>Terrap.!I4</f>
        <v>SINAPI - JANEIRO / 2019                                                                             ANP 12/2018 (com desoneração)</v>
      </c>
      <c r="P4" s="880"/>
      <c r="Q4" s="881"/>
    </row>
    <row r="5" spans="1:18" s="468" customFormat="1" ht="15.75" customHeight="1" x14ac:dyDescent="0.2">
      <c r="A5" s="459" t="s">
        <v>59</v>
      </c>
      <c r="B5" s="876" t="str">
        <f>Terrap.!B5</f>
        <v>PREFEITURA MUNICIPAL DE JACIARA</v>
      </c>
      <c r="C5" s="876"/>
      <c r="D5" s="876"/>
      <c r="E5" s="876"/>
      <c r="F5" s="876"/>
      <c r="G5" s="876"/>
      <c r="H5" s="876"/>
      <c r="I5" s="876"/>
      <c r="J5" s="876"/>
      <c r="K5" s="464" t="s">
        <v>455</v>
      </c>
      <c r="L5" s="878" t="str">
        <f>Terrap.!F5</f>
        <v>FEVEREIRO 2019</v>
      </c>
      <c r="M5" s="878"/>
      <c r="N5" s="878"/>
      <c r="O5" s="880"/>
      <c r="P5" s="880"/>
      <c r="Q5" s="881"/>
    </row>
    <row r="6" spans="1:18" s="468" customFormat="1" thickBot="1" x14ac:dyDescent="0.25">
      <c r="A6" s="465" t="s">
        <v>60</v>
      </c>
      <c r="B6" s="879">
        <f>Pavim.!B6</f>
        <v>3632.82</v>
      </c>
      <c r="C6" s="879"/>
      <c r="D6" s="879"/>
      <c r="E6" s="879"/>
      <c r="F6" s="879"/>
      <c r="G6" s="879"/>
      <c r="H6" s="879"/>
      <c r="I6" s="879"/>
      <c r="J6" s="879"/>
      <c r="K6" s="466" t="s">
        <v>61</v>
      </c>
      <c r="L6" s="467">
        <f>Terrap.!F6</f>
        <v>0.26019999999999999</v>
      </c>
      <c r="M6" s="467"/>
      <c r="N6" s="466" t="s">
        <v>62</v>
      </c>
      <c r="O6" s="882"/>
      <c r="P6" s="882"/>
      <c r="Q6" s="883"/>
    </row>
    <row r="7" spans="1:18" ht="25.5" customHeight="1" thickBot="1" x14ac:dyDescent="0.25">
      <c r="A7" s="867" t="s">
        <v>365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9"/>
    </row>
    <row r="8" spans="1:18" s="300" customFormat="1" ht="23.25" customHeight="1" x14ac:dyDescent="0.2">
      <c r="A8" s="888" t="s">
        <v>0</v>
      </c>
      <c r="B8" s="886" t="s">
        <v>91</v>
      </c>
      <c r="C8" s="886" t="s">
        <v>92</v>
      </c>
      <c r="D8" s="886"/>
      <c r="E8" s="886"/>
      <c r="F8" s="886"/>
      <c r="G8" s="886"/>
      <c r="H8" s="886"/>
      <c r="I8" s="892" t="s">
        <v>93</v>
      </c>
      <c r="J8" s="893"/>
      <c r="K8" s="890" t="s">
        <v>202</v>
      </c>
      <c r="L8" s="890" t="s">
        <v>203</v>
      </c>
      <c r="M8" s="890" t="s">
        <v>266</v>
      </c>
      <c r="N8" s="890" t="s">
        <v>279</v>
      </c>
      <c r="O8" s="890" t="s">
        <v>280</v>
      </c>
      <c r="P8" s="886" t="s">
        <v>94</v>
      </c>
      <c r="Q8" s="884" t="s">
        <v>95</v>
      </c>
    </row>
    <row r="9" spans="1:18" s="300" customFormat="1" ht="23.25" customHeight="1" x14ac:dyDescent="0.2">
      <c r="A9" s="889"/>
      <c r="B9" s="887"/>
      <c r="C9" s="456" t="s">
        <v>96</v>
      </c>
      <c r="D9" s="456" t="s">
        <v>97</v>
      </c>
      <c r="E9" s="456" t="s">
        <v>98</v>
      </c>
      <c r="F9" s="456" t="s">
        <v>99</v>
      </c>
      <c r="G9" s="456" t="s">
        <v>100</v>
      </c>
      <c r="H9" s="456" t="s">
        <v>363</v>
      </c>
      <c r="I9" s="456" t="s">
        <v>101</v>
      </c>
      <c r="J9" s="456" t="s">
        <v>267</v>
      </c>
      <c r="K9" s="891"/>
      <c r="L9" s="891"/>
      <c r="M9" s="891"/>
      <c r="N9" s="891"/>
      <c r="O9" s="891"/>
      <c r="P9" s="887"/>
      <c r="Q9" s="885"/>
    </row>
    <row r="10" spans="1:18" x14ac:dyDescent="0.2">
      <c r="A10" s="301">
        <v>1</v>
      </c>
      <c r="B10" s="461"/>
      <c r="C10" s="294"/>
      <c r="D10" s="294"/>
      <c r="E10" s="294"/>
      <c r="F10" s="294"/>
      <c r="G10" s="294"/>
      <c r="H10" s="294"/>
      <c r="I10" s="295"/>
      <c r="J10" s="295"/>
      <c r="K10" s="295"/>
      <c r="L10" s="295"/>
      <c r="M10" s="295"/>
      <c r="N10" s="295"/>
      <c r="O10" s="295"/>
      <c r="P10" s="295"/>
      <c r="Q10" s="302"/>
      <c r="R10" s="296"/>
    </row>
    <row r="11" spans="1:18" x14ac:dyDescent="0.2">
      <c r="A11" s="301">
        <f>A10+1</f>
        <v>2</v>
      </c>
      <c r="B11" s="461"/>
      <c r="C11" s="294"/>
      <c r="D11" s="294"/>
      <c r="E11" s="294"/>
      <c r="F11" s="294"/>
      <c r="G11" s="294"/>
      <c r="H11" s="294"/>
      <c r="I11" s="295"/>
      <c r="J11" s="295"/>
      <c r="K11" s="295"/>
      <c r="L11" s="295"/>
      <c r="M11" s="295"/>
      <c r="N11" s="295"/>
      <c r="O11" s="295"/>
      <c r="P11" s="295"/>
      <c r="Q11" s="302"/>
      <c r="R11" s="296"/>
    </row>
    <row r="12" spans="1:18" x14ac:dyDescent="0.2">
      <c r="A12" s="301">
        <f t="shared" ref="A12:A15" si="0">A11+1</f>
        <v>3</v>
      </c>
      <c r="B12" s="461"/>
      <c r="C12" s="294"/>
      <c r="D12" s="294"/>
      <c r="E12" s="294"/>
      <c r="F12" s="294"/>
      <c r="G12" s="294"/>
      <c r="H12" s="294"/>
      <c r="I12" s="295"/>
      <c r="J12" s="295"/>
      <c r="K12" s="295"/>
      <c r="L12" s="295"/>
      <c r="M12" s="295"/>
      <c r="N12" s="295"/>
      <c r="O12" s="295"/>
      <c r="P12" s="295"/>
      <c r="Q12" s="302"/>
      <c r="R12" s="296"/>
    </row>
    <row r="13" spans="1:18" x14ac:dyDescent="0.2">
      <c r="A13" s="301">
        <f t="shared" si="0"/>
        <v>4</v>
      </c>
      <c r="B13" s="461"/>
      <c r="C13" s="294"/>
      <c r="D13" s="294"/>
      <c r="E13" s="294"/>
      <c r="F13" s="294"/>
      <c r="G13" s="294"/>
      <c r="H13" s="294"/>
      <c r="I13" s="295"/>
      <c r="J13" s="295"/>
      <c r="K13" s="295"/>
      <c r="L13" s="295"/>
      <c r="M13" s="295"/>
      <c r="N13" s="295"/>
      <c r="O13" s="295"/>
      <c r="P13" s="295"/>
      <c r="Q13" s="302"/>
      <c r="R13" s="296"/>
    </row>
    <row r="14" spans="1:18" x14ac:dyDescent="0.2">
      <c r="A14" s="301">
        <f t="shared" si="0"/>
        <v>5</v>
      </c>
      <c r="B14" s="461"/>
      <c r="C14" s="294"/>
      <c r="D14" s="294"/>
      <c r="E14" s="294"/>
      <c r="F14" s="294"/>
      <c r="G14" s="294"/>
      <c r="H14" s="294"/>
      <c r="I14" s="295"/>
      <c r="J14" s="295"/>
      <c r="K14" s="295"/>
      <c r="L14" s="295"/>
      <c r="M14" s="295"/>
      <c r="N14" s="295"/>
      <c r="O14" s="295"/>
      <c r="P14" s="295"/>
      <c r="Q14" s="302"/>
      <c r="R14" s="296"/>
    </row>
    <row r="15" spans="1:18" x14ac:dyDescent="0.2">
      <c r="A15" s="301">
        <f t="shared" si="0"/>
        <v>6</v>
      </c>
      <c r="B15" s="461"/>
      <c r="C15" s="294"/>
      <c r="D15" s="294"/>
      <c r="E15" s="294"/>
      <c r="F15" s="294"/>
      <c r="G15" s="294"/>
      <c r="H15" s="294"/>
      <c r="I15" s="295"/>
      <c r="J15" s="295"/>
      <c r="K15" s="295"/>
      <c r="L15" s="295"/>
      <c r="M15" s="295"/>
      <c r="N15" s="295"/>
      <c r="O15" s="295"/>
      <c r="P15" s="295"/>
      <c r="Q15" s="302"/>
      <c r="R15" s="296"/>
    </row>
    <row r="16" spans="1:18" x14ac:dyDescent="0.2">
      <c r="A16" s="301">
        <f>A15+1</f>
        <v>7</v>
      </c>
      <c r="B16" s="293"/>
      <c r="C16" s="294"/>
      <c r="D16" s="294"/>
      <c r="E16" s="294"/>
      <c r="F16" s="294"/>
      <c r="G16" s="294"/>
      <c r="H16" s="294"/>
      <c r="I16" s="295"/>
      <c r="J16" s="295"/>
      <c r="K16" s="295"/>
      <c r="L16" s="295"/>
      <c r="M16" s="295"/>
      <c r="N16" s="295"/>
      <c r="O16" s="295"/>
      <c r="P16" s="295"/>
      <c r="Q16" s="302"/>
      <c r="R16" s="296"/>
    </row>
    <row r="17" spans="1:19" x14ac:dyDescent="0.2">
      <c r="A17" s="301">
        <f t="shared" ref="A17" si="1">A16+1</f>
        <v>8</v>
      </c>
      <c r="B17" s="293"/>
      <c r="C17" s="294"/>
      <c r="D17" s="294"/>
      <c r="E17" s="294"/>
      <c r="F17" s="294"/>
      <c r="G17" s="294"/>
      <c r="H17" s="294"/>
      <c r="I17" s="295"/>
      <c r="J17" s="295"/>
      <c r="K17" s="434"/>
      <c r="L17" s="295"/>
      <c r="M17" s="295"/>
      <c r="N17" s="295"/>
      <c r="O17" s="434"/>
      <c r="P17" s="295"/>
      <c r="Q17" s="302"/>
      <c r="R17" s="296"/>
    </row>
    <row r="18" spans="1:19" x14ac:dyDescent="0.2">
      <c r="A18" s="301"/>
      <c r="B18" s="293"/>
      <c r="C18" s="294"/>
      <c r="D18" s="294"/>
      <c r="E18" s="294"/>
      <c r="F18" s="294"/>
      <c r="G18" s="294"/>
      <c r="H18" s="294"/>
      <c r="I18" s="295"/>
      <c r="J18" s="295"/>
      <c r="K18" s="434"/>
      <c r="L18" s="295"/>
      <c r="M18" s="295"/>
      <c r="N18" s="295"/>
      <c r="O18" s="434"/>
      <c r="P18" s="295"/>
      <c r="Q18" s="302"/>
      <c r="R18" s="296"/>
    </row>
    <row r="19" spans="1:19" ht="18.75" customHeight="1" x14ac:dyDescent="0.2">
      <c r="A19" s="899" t="s">
        <v>102</v>
      </c>
      <c r="B19" s="900"/>
      <c r="C19" s="297">
        <f>SUM(C10:C17)</f>
        <v>0</v>
      </c>
      <c r="D19" s="297">
        <f t="shared" ref="D19:H19" si="2">SUM(D10:D17)</f>
        <v>0</v>
      </c>
      <c r="E19" s="297">
        <f t="shared" si="2"/>
        <v>0</v>
      </c>
      <c r="F19" s="297">
        <f t="shared" si="2"/>
        <v>0</v>
      </c>
      <c r="G19" s="297">
        <f t="shared" si="2"/>
        <v>0</v>
      </c>
      <c r="H19" s="297">
        <f t="shared" si="2"/>
        <v>0</v>
      </c>
      <c r="I19" s="900">
        <f>SUM(I10:I18)</f>
        <v>0</v>
      </c>
      <c r="J19" s="900">
        <f t="shared" ref="J19:Q19" si="3">SUM(J10:J18)</f>
        <v>0</v>
      </c>
      <c r="K19" s="900">
        <f t="shared" si="3"/>
        <v>0</v>
      </c>
      <c r="L19" s="900">
        <f t="shared" si="3"/>
        <v>0</v>
      </c>
      <c r="M19" s="900">
        <f t="shared" si="3"/>
        <v>0</v>
      </c>
      <c r="N19" s="900">
        <f t="shared" si="3"/>
        <v>0</v>
      </c>
      <c r="O19" s="900">
        <f t="shared" si="3"/>
        <v>0</v>
      </c>
      <c r="P19" s="900">
        <f t="shared" si="3"/>
        <v>0</v>
      </c>
      <c r="Q19" s="894">
        <f t="shared" si="3"/>
        <v>0</v>
      </c>
      <c r="S19" s="445" t="e">
        <f>Orçam.!#REF!</f>
        <v>#REF!</v>
      </c>
    </row>
    <row r="20" spans="1:19" ht="18.75" customHeight="1" thickBot="1" x14ac:dyDescent="0.25">
      <c r="A20" s="896" t="s">
        <v>103</v>
      </c>
      <c r="B20" s="897"/>
      <c r="C20" s="898">
        <f>SUM(C19:H19)</f>
        <v>0</v>
      </c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895"/>
    </row>
    <row r="22" spans="1:19" x14ac:dyDescent="0.2">
      <c r="C22" s="298"/>
      <c r="D22" s="298"/>
    </row>
    <row r="23" spans="1:19" x14ac:dyDescent="0.2">
      <c r="B23" s="298" t="str">
        <f>Terrap.!B16</f>
        <v xml:space="preserve">  </v>
      </c>
    </row>
    <row r="24" spans="1:19" x14ac:dyDescent="0.2">
      <c r="B24" s="299" t="str">
        <f>Terrap.!B17</f>
        <v xml:space="preserve">   </v>
      </c>
    </row>
  </sheetData>
  <mergeCells count="32">
    <mergeCell ref="Q19:Q20"/>
    <mergeCell ref="A20:B20"/>
    <mergeCell ref="C20:H20"/>
    <mergeCell ref="A19:B19"/>
    <mergeCell ref="I19:I20"/>
    <mergeCell ref="J19:J20"/>
    <mergeCell ref="M19:M20"/>
    <mergeCell ref="P19:P20"/>
    <mergeCell ref="L19:L20"/>
    <mergeCell ref="K19:K20"/>
    <mergeCell ref="N19:N20"/>
    <mergeCell ref="O19:O20"/>
    <mergeCell ref="Q8:Q9"/>
    <mergeCell ref="P8:P9"/>
    <mergeCell ref="A8:A9"/>
    <mergeCell ref="K8:K9"/>
    <mergeCell ref="N8:N9"/>
    <mergeCell ref="O8:O9"/>
    <mergeCell ref="B8:B9"/>
    <mergeCell ref="C8:H8"/>
    <mergeCell ref="I8:J8"/>
    <mergeCell ref="M8:M9"/>
    <mergeCell ref="L8:L9"/>
    <mergeCell ref="A7:Q7"/>
    <mergeCell ref="A1:Q1"/>
    <mergeCell ref="A2:Q2"/>
    <mergeCell ref="B3:Q3"/>
    <mergeCell ref="L5:N5"/>
    <mergeCell ref="B5:J5"/>
    <mergeCell ref="B6:J6"/>
    <mergeCell ref="B4:N4"/>
    <mergeCell ref="O4:Q6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zoomScaleSheetLayoutView="100" workbookViewId="0">
      <selection activeCell="N9" sqref="N9"/>
    </sheetView>
  </sheetViews>
  <sheetFormatPr defaultRowHeight="12.75" x14ac:dyDescent="0.2"/>
  <cols>
    <col min="1" max="1" width="12.85546875" style="5" customWidth="1"/>
    <col min="2" max="2" width="44" style="5" customWidth="1"/>
    <col min="3" max="3" width="15.42578125" style="5" customWidth="1"/>
    <col min="4" max="5" width="10" style="5" customWidth="1"/>
    <col min="6" max="6" width="9.140625" style="5"/>
    <col min="7" max="7" width="7.28515625" style="5" customWidth="1"/>
    <col min="8" max="8" width="13.5703125" style="5" customWidth="1"/>
    <col min="9" max="9" width="12.7109375" style="5" customWidth="1"/>
    <col min="10" max="10" width="11.140625" style="5" customWidth="1"/>
    <col min="11" max="11" width="10.85546875" style="5" customWidth="1"/>
    <col min="12" max="12" width="11.42578125" style="5" customWidth="1"/>
    <col min="13" max="16384" width="9.140625" style="5"/>
  </cols>
  <sheetData>
    <row r="1" spans="1:15" ht="48" customHeight="1" x14ac:dyDescent="0.2">
      <c r="A1" s="1030"/>
      <c r="B1" s="1031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981"/>
      <c r="K1" s="981"/>
      <c r="L1" s="872"/>
    </row>
    <row r="2" spans="1:15" ht="48" customHeight="1" x14ac:dyDescent="0.2">
      <c r="A2" s="1032"/>
      <c r="B2" s="1033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982"/>
      <c r="K2" s="982"/>
      <c r="L2" s="875"/>
    </row>
    <row r="3" spans="1:15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995"/>
      <c r="K3" s="995"/>
      <c r="L3" s="877"/>
    </row>
    <row r="4" spans="1:15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80" t="str">
        <f>Terrap.!I4</f>
        <v>SINAPI - JANEIRO / 2019                                                                             ANP 12/2018 (com desoneração)</v>
      </c>
      <c r="J4" s="987"/>
      <c r="K4" s="987"/>
      <c r="L4" s="881"/>
    </row>
    <row r="5" spans="1:15" ht="15" x14ac:dyDescent="0.2">
      <c r="A5" s="459" t="s">
        <v>59</v>
      </c>
      <c r="B5" s="876" t="str">
        <f>Terrap.!B5</f>
        <v>PREFEITURA MUNICIPAL DE JACIARA</v>
      </c>
      <c r="C5" s="876"/>
      <c r="D5" s="876"/>
      <c r="E5" s="464" t="s">
        <v>455</v>
      </c>
      <c r="F5" s="878" t="str">
        <f>Terrap.!F5</f>
        <v>FEVEREIRO 2019</v>
      </c>
      <c r="G5" s="878"/>
      <c r="H5" s="878"/>
      <c r="I5" s="880"/>
      <c r="J5" s="987"/>
      <c r="K5" s="987"/>
      <c r="L5" s="881"/>
    </row>
    <row r="6" spans="1:15" ht="15.75" thickBot="1" x14ac:dyDescent="0.25">
      <c r="A6" s="465" t="s">
        <v>60</v>
      </c>
      <c r="B6" s="879">
        <f>Pavim.!B6</f>
        <v>3632.82</v>
      </c>
      <c r="C6" s="879"/>
      <c r="D6" s="879"/>
      <c r="E6" s="466" t="s">
        <v>61</v>
      </c>
      <c r="F6" s="948">
        <f>Terrap.!F6</f>
        <v>0.26019999999999999</v>
      </c>
      <c r="G6" s="948"/>
      <c r="H6" s="466" t="s">
        <v>62</v>
      </c>
      <c r="I6" s="882"/>
      <c r="J6" s="988"/>
      <c r="K6" s="988"/>
      <c r="L6" s="883"/>
    </row>
    <row r="7" spans="1:15" ht="19.5" customHeight="1" thickBot="1" x14ac:dyDescent="0.25">
      <c r="A7" s="1023" t="s">
        <v>408</v>
      </c>
      <c r="B7" s="1024"/>
      <c r="C7" s="1024"/>
      <c r="D7" s="1024"/>
      <c r="E7" s="1024"/>
      <c r="F7" s="1024"/>
      <c r="G7" s="1024"/>
      <c r="H7" s="1024"/>
      <c r="I7" s="1024"/>
      <c r="J7" s="1026"/>
      <c r="K7" s="1026"/>
      <c r="L7" s="1025"/>
    </row>
    <row r="8" spans="1:15" s="785" customFormat="1" ht="14.25" customHeight="1" x14ac:dyDescent="0.2">
      <c r="A8" s="936" t="s">
        <v>63</v>
      </c>
      <c r="B8" s="938" t="s">
        <v>64</v>
      </c>
      <c r="C8" s="938" t="s">
        <v>466</v>
      </c>
      <c r="D8" s="938" t="s">
        <v>122</v>
      </c>
      <c r="E8" s="938" t="s">
        <v>67</v>
      </c>
      <c r="F8" s="938" t="s">
        <v>68</v>
      </c>
      <c r="G8" s="938"/>
      <c r="H8" s="938"/>
      <c r="I8" s="938"/>
      <c r="J8" s="938" t="s">
        <v>471</v>
      </c>
      <c r="K8" s="938" t="s">
        <v>517</v>
      </c>
      <c r="L8" s="940" t="s">
        <v>391</v>
      </c>
    </row>
    <row r="9" spans="1:15" s="785" customFormat="1" ht="30" customHeight="1" x14ac:dyDescent="0.2">
      <c r="A9" s="937"/>
      <c r="B9" s="939"/>
      <c r="C9" s="939"/>
      <c r="D9" s="939"/>
      <c r="E9" s="939"/>
      <c r="F9" s="556" t="s">
        <v>70</v>
      </c>
      <c r="G9" s="556" t="s">
        <v>71</v>
      </c>
      <c r="H9" s="556" t="s">
        <v>470</v>
      </c>
      <c r="I9" s="556" t="s">
        <v>471</v>
      </c>
      <c r="J9" s="939"/>
      <c r="K9" s="939"/>
      <c r="L9" s="941"/>
    </row>
    <row r="10" spans="1:15" ht="14.25" x14ac:dyDescent="0.2">
      <c r="A10" s="1027" t="str">
        <f>Terrap.!A10</f>
        <v>TRECHO 01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1029"/>
    </row>
    <row r="11" spans="1:15" ht="15" x14ac:dyDescent="0.2">
      <c r="A11" s="667">
        <f>Terrap.!A11</f>
        <v>1</v>
      </c>
      <c r="B11" s="571" t="str">
        <f>Terrap.!B11</f>
        <v>AVENIDA PRINCIPAL</v>
      </c>
      <c r="C11" s="446">
        <f>'MF e Sarj.'!E11</f>
        <v>872.58</v>
      </c>
      <c r="D11" s="446">
        <v>1.2</v>
      </c>
      <c r="E11" s="446">
        <f>C11*D11</f>
        <v>1047.0999999999999</v>
      </c>
      <c r="F11" s="551" t="str">
        <f>Terrap.!F11</f>
        <v>LR-01</v>
      </c>
      <c r="G11" s="447">
        <f>Terrap.!G11</f>
        <v>8</v>
      </c>
      <c r="H11" s="448">
        <f>'MF e Sarj.'!H11*D11</f>
        <v>11.77</v>
      </c>
      <c r="I11" s="448">
        <f t="shared" ref="I11" si="0">H11*G11</f>
        <v>94.16</v>
      </c>
      <c r="J11" s="784">
        <f>I11+E11</f>
        <v>1141.26</v>
      </c>
      <c r="K11" s="784">
        <v>7.0000000000000007E-2</v>
      </c>
      <c r="L11" s="784">
        <f>K11*J11</f>
        <v>79.89</v>
      </c>
    </row>
    <row r="12" spans="1:15" ht="15" x14ac:dyDescent="0.2">
      <c r="A12" s="667"/>
      <c r="B12" s="571"/>
      <c r="C12" s="446"/>
      <c r="D12" s="446"/>
      <c r="E12" s="446"/>
      <c r="F12" s="551"/>
      <c r="G12" s="447"/>
      <c r="H12" s="448"/>
      <c r="I12" s="448"/>
      <c r="J12" s="448"/>
      <c r="K12" s="784"/>
      <c r="L12" s="673"/>
    </row>
    <row r="13" spans="1:15" ht="15" x14ac:dyDescent="0.2">
      <c r="A13" s="942" t="s">
        <v>76</v>
      </c>
      <c r="B13" s="943"/>
      <c r="C13" s="449">
        <f>SUM(C11:C12)</f>
        <v>872.58</v>
      </c>
      <c r="D13" s="449"/>
      <c r="E13" s="449">
        <f>SUM(E11:E12)</f>
        <v>1047.0999999999999</v>
      </c>
      <c r="F13" s="551"/>
      <c r="G13" s="447"/>
      <c r="H13" s="451"/>
      <c r="I13" s="449">
        <f>SUM(I11:I12)</f>
        <v>94.16</v>
      </c>
      <c r="J13" s="449">
        <f>SUM(J11:J12)</f>
        <v>1141.26</v>
      </c>
      <c r="K13" s="449"/>
      <c r="L13" s="449">
        <f>SUM(L11:L12)</f>
        <v>79.89</v>
      </c>
      <c r="O13" s="50"/>
    </row>
    <row r="14" spans="1:15" ht="15" thickBot="1" x14ac:dyDescent="0.25">
      <c r="A14" s="929" t="s">
        <v>245</v>
      </c>
      <c r="B14" s="930"/>
      <c r="C14" s="931">
        <f>L13</f>
        <v>79.89</v>
      </c>
      <c r="D14" s="931"/>
      <c r="E14" s="931"/>
      <c r="F14" s="931"/>
      <c r="G14" s="931"/>
      <c r="H14" s="931"/>
      <c r="I14" s="931"/>
      <c r="J14" s="931"/>
      <c r="K14" s="931"/>
      <c r="L14" s="932"/>
    </row>
    <row r="17" spans="2:2" ht="35.25" customHeight="1" x14ac:dyDescent="0.2"/>
    <row r="18" spans="2:2" ht="15.75" x14ac:dyDescent="0.25">
      <c r="B18" s="6" t="str">
        <f>Terrap.!B16</f>
        <v xml:space="preserve">  </v>
      </c>
    </row>
    <row r="19" spans="2:2" x14ac:dyDescent="0.2">
      <c r="B19" s="7" t="str">
        <f>Terrap.!B17</f>
        <v xml:space="preserve">   </v>
      </c>
    </row>
  </sheetData>
  <mergeCells count="24">
    <mergeCell ref="A1:B2"/>
    <mergeCell ref="C1:L1"/>
    <mergeCell ref="C2:L2"/>
    <mergeCell ref="B3:L3"/>
    <mergeCell ref="B4:H4"/>
    <mergeCell ref="I4:L6"/>
    <mergeCell ref="B5:D5"/>
    <mergeCell ref="F5:H5"/>
    <mergeCell ref="B6:D6"/>
    <mergeCell ref="F6:G6"/>
    <mergeCell ref="A13:B13"/>
    <mergeCell ref="A14:B14"/>
    <mergeCell ref="C14:L14"/>
    <mergeCell ref="A7:L7"/>
    <mergeCell ref="A8:A9"/>
    <mergeCell ref="B8:B9"/>
    <mergeCell ref="C8:C9"/>
    <mergeCell ref="D8:D9"/>
    <mergeCell ref="E8:E9"/>
    <mergeCell ref="F8:I8"/>
    <mergeCell ref="J8:J9"/>
    <mergeCell ref="A10:L10"/>
    <mergeCell ref="K8:K9"/>
    <mergeCell ref="L8:L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4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topLeftCell="A7" zoomScale="90" zoomScaleSheetLayoutView="90" workbookViewId="0">
      <selection activeCell="Q17" sqref="Q17"/>
    </sheetView>
  </sheetViews>
  <sheetFormatPr defaultRowHeight="12.75" x14ac:dyDescent="0.2"/>
  <cols>
    <col min="1" max="1" width="11.7109375" customWidth="1"/>
    <col min="2" max="2" width="31" customWidth="1"/>
    <col min="3" max="3" width="14.5703125" customWidth="1"/>
    <col min="9" max="9" width="12.85546875" customWidth="1"/>
    <col min="10" max="10" width="12.140625" customWidth="1"/>
  </cols>
  <sheetData>
    <row r="1" spans="1:13" ht="15.75" x14ac:dyDescent="0.2">
      <c r="A1" s="870" t="str">
        <f>Terrap.!C1</f>
        <v>ESTADO DE MATO GROSSO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2"/>
    </row>
    <row r="2" spans="1:13" ht="15.75" x14ac:dyDescent="0.2">
      <c r="A2" s="873" t="str">
        <f>Terrap.!C2</f>
        <v>PREFEITURA MUNICIPAL DE JACIARA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5"/>
    </row>
    <row r="3" spans="1:13" ht="15" customHeight="1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979" t="s">
        <v>455</v>
      </c>
      <c r="J3" s="1040" t="str">
        <f>Terrap.!F5</f>
        <v>FEVEREIRO 2019</v>
      </c>
      <c r="K3" s="979" t="s">
        <v>62</v>
      </c>
      <c r="L3" s="880" t="str">
        <f>Terrap.!I4</f>
        <v>SINAPI - JANEIRO / 2019                                                                             ANP 12/2018 (com desoneração)</v>
      </c>
      <c r="M3" s="881"/>
    </row>
    <row r="4" spans="1:13" ht="15" customHeight="1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979"/>
      <c r="J4" s="1040"/>
      <c r="K4" s="979"/>
      <c r="L4" s="880"/>
      <c r="M4" s="881"/>
    </row>
    <row r="5" spans="1:13" ht="15" x14ac:dyDescent="0.2">
      <c r="A5" s="459" t="s">
        <v>59</v>
      </c>
      <c r="B5" s="876" t="str">
        <f>Terrap.!B5</f>
        <v>PREFEITURA MUNICIPAL DE JACIARA</v>
      </c>
      <c r="C5" s="876"/>
      <c r="D5" s="876"/>
      <c r="E5" s="876"/>
      <c r="F5" s="876"/>
      <c r="G5" s="876"/>
      <c r="H5" s="876"/>
      <c r="I5" s="979" t="s">
        <v>61</v>
      </c>
      <c r="J5" s="878">
        <f>Terrap.!F6</f>
        <v>0.26019999999999999</v>
      </c>
      <c r="K5" s="979"/>
      <c r="L5" s="880"/>
      <c r="M5" s="881"/>
    </row>
    <row r="6" spans="1:13" ht="15.75" thickBot="1" x14ac:dyDescent="0.25">
      <c r="A6" s="850" t="s">
        <v>60</v>
      </c>
      <c r="B6" s="1041">
        <f>Pavim.!B6</f>
        <v>3632.82</v>
      </c>
      <c r="C6" s="1041"/>
      <c r="D6" s="1041"/>
      <c r="E6" s="1041"/>
      <c r="F6" s="1041"/>
      <c r="G6" s="1041"/>
      <c r="H6" s="1041"/>
      <c r="I6" s="1038"/>
      <c r="J6" s="1039"/>
      <c r="K6" s="1038"/>
      <c r="L6" s="1036"/>
      <c r="M6" s="1037"/>
    </row>
    <row r="7" spans="1:13" ht="13.5" thickBot="1" x14ac:dyDescent="0.25">
      <c r="A7" s="1042"/>
      <c r="B7" s="1043"/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4"/>
    </row>
    <row r="8" spans="1:13" ht="16.5" thickBot="1" x14ac:dyDescent="0.25">
      <c r="A8" s="1045" t="s">
        <v>433</v>
      </c>
      <c r="B8" s="1046"/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7"/>
    </row>
    <row r="9" spans="1:13" ht="14.25" x14ac:dyDescent="0.2">
      <c r="A9" s="1048" t="s">
        <v>63</v>
      </c>
      <c r="B9" s="1050" t="s">
        <v>64</v>
      </c>
      <c r="C9" s="1048" t="s">
        <v>588</v>
      </c>
      <c r="D9" s="1049"/>
      <c r="E9" s="1050"/>
      <c r="F9" s="1048" t="s">
        <v>435</v>
      </c>
      <c r="G9" s="1049"/>
      <c r="H9" s="1049"/>
      <c r="I9" s="1049"/>
      <c r="J9" s="1050"/>
      <c r="K9" s="1060" t="s">
        <v>589</v>
      </c>
      <c r="L9" s="1053" t="s">
        <v>590</v>
      </c>
      <c r="M9" s="1055" t="s">
        <v>591</v>
      </c>
    </row>
    <row r="10" spans="1:13" ht="57" x14ac:dyDescent="0.2">
      <c r="A10" s="1051"/>
      <c r="B10" s="1052"/>
      <c r="C10" s="824" t="s">
        <v>592</v>
      </c>
      <c r="D10" s="825" t="s">
        <v>593</v>
      </c>
      <c r="E10" s="826" t="s">
        <v>594</v>
      </c>
      <c r="F10" s="824" t="s">
        <v>595</v>
      </c>
      <c r="G10" s="825" t="s">
        <v>596</v>
      </c>
      <c r="H10" s="825" t="s">
        <v>597</v>
      </c>
      <c r="I10" s="825" t="s">
        <v>598</v>
      </c>
      <c r="J10" s="826" t="s">
        <v>434</v>
      </c>
      <c r="K10" s="1061"/>
      <c r="L10" s="1054"/>
      <c r="M10" s="1056"/>
    </row>
    <row r="11" spans="1:13" ht="14.25" x14ac:dyDescent="0.2">
      <c r="A11" s="1057" t="s">
        <v>599</v>
      </c>
      <c r="B11" s="1058"/>
      <c r="C11" s="1058"/>
      <c r="D11" s="1058"/>
      <c r="E11" s="1058"/>
      <c r="F11" s="1058"/>
      <c r="G11" s="1058"/>
      <c r="H11" s="1058"/>
      <c r="I11" s="1058"/>
      <c r="J11" s="1058"/>
      <c r="K11" s="1058"/>
      <c r="L11" s="1058"/>
      <c r="M11" s="1059"/>
    </row>
    <row r="12" spans="1:13" ht="15" x14ac:dyDescent="0.2">
      <c r="A12" s="827">
        <f>Pavim.!A11</f>
        <v>1</v>
      </c>
      <c r="B12" s="828" t="str">
        <f>Pavim.!B11</f>
        <v>AVENIDA PRINCIPAL</v>
      </c>
      <c r="C12" s="829">
        <f>'MF e Sarj.'!C15:J15</f>
        <v>951.06</v>
      </c>
      <c r="D12" s="830">
        <v>4</v>
      </c>
      <c r="E12" s="831">
        <f t="shared" ref="E12" si="0">ROUND(D12*C12,0)</f>
        <v>3804</v>
      </c>
      <c r="F12" s="832">
        <v>4</v>
      </c>
      <c r="G12" s="830">
        <v>2</v>
      </c>
      <c r="H12" s="830">
        <f t="shared" ref="H12" si="1">G12*F12</f>
        <v>8</v>
      </c>
      <c r="I12" s="830">
        <f>15+18+3+1</f>
        <v>37</v>
      </c>
      <c r="J12" s="833">
        <f t="shared" ref="J12" si="2">I12*H12</f>
        <v>296</v>
      </c>
      <c r="K12" s="834">
        <f t="shared" ref="K12" si="3">ROUND(J12+E12,0)</f>
        <v>4100</v>
      </c>
      <c r="L12" s="835">
        <f>0.25*0.25</f>
        <v>6.3E-2</v>
      </c>
      <c r="M12" s="833">
        <f t="shared" ref="M12" si="4">TRUNC(L12*K12,2)</f>
        <v>258.3</v>
      </c>
    </row>
    <row r="13" spans="1:13" ht="15" x14ac:dyDescent="0.2">
      <c r="A13" s="836"/>
      <c r="B13" s="837"/>
      <c r="C13" s="838"/>
      <c r="D13" s="839"/>
      <c r="E13" s="840"/>
      <c r="F13" s="841"/>
      <c r="G13" s="839"/>
      <c r="H13" s="839"/>
      <c r="I13" s="839"/>
      <c r="J13" s="842"/>
      <c r="K13" s="843"/>
      <c r="L13" s="844"/>
      <c r="M13" s="842"/>
    </row>
    <row r="14" spans="1:13" ht="15.75" thickBot="1" x14ac:dyDescent="0.25">
      <c r="A14" s="1034" t="s">
        <v>529</v>
      </c>
      <c r="B14" s="1035"/>
      <c r="C14" s="845">
        <f>SUM(C12:C13)</f>
        <v>951.06</v>
      </c>
      <c r="D14" s="846"/>
      <c r="E14" s="845">
        <f>SUM(E12:E13)</f>
        <v>3804</v>
      </c>
      <c r="F14" s="847"/>
      <c r="G14" s="848"/>
      <c r="H14" s="848"/>
      <c r="I14" s="848"/>
      <c r="J14" s="845">
        <f>SUM(J12:J13)</f>
        <v>296</v>
      </c>
      <c r="K14" s="845">
        <f>SUM(K12:K13)</f>
        <v>4100</v>
      </c>
      <c r="L14" s="849"/>
      <c r="M14" s="845">
        <f>SUM(M12:M13)</f>
        <v>258.3</v>
      </c>
    </row>
  </sheetData>
  <mergeCells count="23">
    <mergeCell ref="A9:A10"/>
    <mergeCell ref="B9:B10"/>
    <mergeCell ref="L9:L10"/>
    <mergeCell ref="M9:M10"/>
    <mergeCell ref="A11:M11"/>
    <mergeCell ref="F9:J9"/>
    <mergeCell ref="K9:K10"/>
    <mergeCell ref="A14:B14"/>
    <mergeCell ref="A1:M1"/>
    <mergeCell ref="A2:M2"/>
    <mergeCell ref="L3:M6"/>
    <mergeCell ref="K3:K6"/>
    <mergeCell ref="I5:I6"/>
    <mergeCell ref="J5:J6"/>
    <mergeCell ref="J3:J4"/>
    <mergeCell ref="I3:I4"/>
    <mergeCell ref="B5:H5"/>
    <mergeCell ref="B6:H6"/>
    <mergeCell ref="A7:M7"/>
    <mergeCell ref="A8:M8"/>
    <mergeCell ref="B3:H3"/>
    <mergeCell ref="B4:H4"/>
    <mergeCell ref="C9:E9"/>
  </mergeCells>
  <pageMargins left="0.51181102362204722" right="0.51181102362204722" top="0.78740157480314965" bottom="0.78740157480314965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7"/>
  <sheetViews>
    <sheetView view="pageBreakPreview" topLeftCell="A13" zoomScale="115" zoomScaleSheetLayoutView="115" workbookViewId="0">
      <selection activeCell="L6" sqref="L6"/>
    </sheetView>
  </sheetViews>
  <sheetFormatPr defaultRowHeight="12.75" x14ac:dyDescent="0.2"/>
  <cols>
    <col min="1" max="1" width="11.42578125" style="1" customWidth="1"/>
    <col min="2" max="2" width="31.28515625" style="1" customWidth="1"/>
    <col min="3" max="3" width="18.140625" style="1" customWidth="1"/>
    <col min="4" max="4" width="7.85546875" style="1" customWidth="1"/>
    <col min="5" max="5" width="10.7109375" style="1" customWidth="1"/>
    <col min="6" max="6" width="9.140625" style="1"/>
    <col min="7" max="7" width="10.85546875" style="1" customWidth="1"/>
    <col min="8" max="8" width="10.5703125" style="1" customWidth="1"/>
    <col min="9" max="9" width="13.28515625" style="1" customWidth="1"/>
    <col min="10" max="10" width="14" style="1" customWidth="1"/>
    <col min="11" max="11" width="11.140625" style="1" customWidth="1"/>
    <col min="12" max="16384" width="9.140625" style="1"/>
  </cols>
  <sheetData>
    <row r="1" spans="1:12" ht="48.75" customHeight="1" x14ac:dyDescent="0.2">
      <c r="A1" s="1062"/>
      <c r="B1" s="1063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872"/>
    </row>
    <row r="2" spans="1:12" ht="48.75" customHeight="1" x14ac:dyDescent="0.2">
      <c r="A2" s="1064"/>
      <c r="B2" s="1065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875"/>
    </row>
    <row r="3" spans="1:12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80" t="str">
        <f>Terrap.!I4</f>
        <v>SINAPI - JANEIRO / 2019                                                                             ANP 12/2018 (com desoneração)</v>
      </c>
      <c r="J3" s="881"/>
    </row>
    <row r="4" spans="1:12" ht="15" customHeight="1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80"/>
      <c r="J4" s="881"/>
    </row>
    <row r="5" spans="1:12" ht="15" x14ac:dyDescent="0.2">
      <c r="A5" s="459" t="s">
        <v>59</v>
      </c>
      <c r="B5" s="876" t="str">
        <f>Terrap.!B5</f>
        <v>PREFEITURA MUNICIPAL DE JACIARA</v>
      </c>
      <c r="C5" s="876"/>
      <c r="D5" s="876"/>
      <c r="E5" s="464" t="s">
        <v>455</v>
      </c>
      <c r="F5" s="878" t="str">
        <f>Terrap.!F5</f>
        <v>FEVEREIRO 2019</v>
      </c>
      <c r="G5" s="878"/>
      <c r="H5" s="878"/>
      <c r="I5" s="880"/>
      <c r="J5" s="881"/>
    </row>
    <row r="6" spans="1:12" ht="15.75" thickBot="1" x14ac:dyDescent="0.25">
      <c r="A6" s="465" t="s">
        <v>60</v>
      </c>
      <c r="B6" s="879">
        <f>Pavim.!B6</f>
        <v>3632.82</v>
      </c>
      <c r="C6" s="879"/>
      <c r="D6" s="879"/>
      <c r="E6" s="466" t="s">
        <v>61</v>
      </c>
      <c r="F6" s="948">
        <f>Terrap.!F6</f>
        <v>0.26019999999999999</v>
      </c>
      <c r="G6" s="948"/>
      <c r="H6" s="466" t="s">
        <v>62</v>
      </c>
      <c r="I6" s="882"/>
      <c r="J6" s="883"/>
    </row>
    <row r="7" spans="1:12" ht="32.25" customHeight="1" thickBot="1" x14ac:dyDescent="0.25">
      <c r="A7" s="1077" t="s">
        <v>109</v>
      </c>
      <c r="B7" s="1078"/>
      <c r="C7" s="1078"/>
      <c r="D7" s="1078"/>
      <c r="E7" s="1078"/>
      <c r="F7" s="1078"/>
      <c r="G7" s="1078"/>
      <c r="H7" s="1078"/>
      <c r="I7" s="1078"/>
      <c r="J7" s="1079"/>
    </row>
    <row r="8" spans="1:12" ht="15.75" thickBot="1" x14ac:dyDescent="0.25">
      <c r="A8" s="178" t="s">
        <v>110</v>
      </c>
      <c r="B8" s="179"/>
      <c r="C8" s="179"/>
      <c r="D8" s="179"/>
      <c r="E8" s="179"/>
      <c r="F8" s="179"/>
      <c r="G8" s="179"/>
      <c r="H8" s="179"/>
      <c r="I8" s="179"/>
      <c r="J8" s="180"/>
      <c r="K8" s="181"/>
      <c r="L8" s="181"/>
    </row>
    <row r="9" spans="1:12" ht="15" x14ac:dyDescent="0.2">
      <c r="A9" s="182" t="s">
        <v>23</v>
      </c>
      <c r="B9" s="183" t="s">
        <v>247</v>
      </c>
      <c r="C9" s="184" t="s">
        <v>111</v>
      </c>
      <c r="D9" s="184">
        <v>0.21</v>
      </c>
      <c r="E9" s="36" t="s">
        <v>112</v>
      </c>
      <c r="F9" s="185">
        <v>2</v>
      </c>
      <c r="G9" s="184" t="s">
        <v>113</v>
      </c>
      <c r="H9" s="186" t="s">
        <v>114</v>
      </c>
      <c r="I9" s="187">
        <f>D9*F9</f>
        <v>0.42</v>
      </c>
      <c r="J9" s="175" t="s">
        <v>6</v>
      </c>
      <c r="K9" s="181"/>
      <c r="L9" s="181"/>
    </row>
    <row r="10" spans="1:12" ht="15" x14ac:dyDescent="0.2">
      <c r="A10" s="188"/>
      <c r="B10" s="189"/>
      <c r="C10" s="190" t="s">
        <v>248</v>
      </c>
      <c r="D10" s="190"/>
      <c r="E10" s="191"/>
      <c r="F10" s="192"/>
      <c r="G10" s="193"/>
      <c r="H10" s="194"/>
      <c r="I10" s="195"/>
      <c r="J10" s="171"/>
      <c r="K10" s="181"/>
      <c r="L10" s="181"/>
    </row>
    <row r="11" spans="1:12" ht="15" x14ac:dyDescent="0.2">
      <c r="A11" s="182" t="s">
        <v>44</v>
      </c>
      <c r="B11" s="183" t="s">
        <v>115</v>
      </c>
      <c r="C11" s="184" t="s">
        <v>111</v>
      </c>
      <c r="D11" s="184">
        <f>0.5*0.5</f>
        <v>0.25</v>
      </c>
      <c r="E11" s="36" t="s">
        <v>112</v>
      </c>
      <c r="F11" s="185">
        <v>4</v>
      </c>
      <c r="G11" s="184" t="s">
        <v>113</v>
      </c>
      <c r="H11" s="186" t="s">
        <v>114</v>
      </c>
      <c r="I11" s="187">
        <f>D11*F11</f>
        <v>1</v>
      </c>
      <c r="J11" s="175" t="s">
        <v>6</v>
      </c>
    </row>
    <row r="12" spans="1:12" ht="15" x14ac:dyDescent="0.2">
      <c r="A12" s="188"/>
      <c r="B12" s="189"/>
      <c r="C12" s="190" t="s">
        <v>116</v>
      </c>
      <c r="D12" s="193"/>
      <c r="E12" s="191"/>
      <c r="F12" s="192"/>
      <c r="G12" s="193"/>
      <c r="H12" s="194"/>
      <c r="I12" s="195"/>
      <c r="J12" s="171"/>
    </row>
    <row r="13" spans="1:12" ht="15" x14ac:dyDescent="0.2">
      <c r="A13" s="182" t="s">
        <v>45</v>
      </c>
      <c r="B13" s="183" t="s">
        <v>166</v>
      </c>
      <c r="C13" s="184" t="s">
        <v>111</v>
      </c>
      <c r="D13" s="196">
        <v>0.2</v>
      </c>
      <c r="E13" s="36" t="s">
        <v>112</v>
      </c>
      <c r="F13" s="185">
        <v>2</v>
      </c>
      <c r="G13" s="184" t="s">
        <v>113</v>
      </c>
      <c r="H13" s="186" t="s">
        <v>114</v>
      </c>
      <c r="I13" s="187">
        <f>D13*F13</f>
        <v>0.4</v>
      </c>
      <c r="J13" s="175" t="s">
        <v>6</v>
      </c>
    </row>
    <row r="14" spans="1:12" x14ac:dyDescent="0.2">
      <c r="A14" s="188"/>
      <c r="B14" s="193"/>
      <c r="C14" s="197" t="s">
        <v>490</v>
      </c>
      <c r="D14" s="193"/>
      <c r="E14" s="191"/>
      <c r="F14" s="193"/>
      <c r="G14" s="193"/>
      <c r="H14" s="194"/>
      <c r="J14" s="172"/>
      <c r="L14" s="1" t="e">
        <f>Orçam.!#REF!</f>
        <v>#REF!</v>
      </c>
    </row>
    <row r="15" spans="1:12" ht="15" x14ac:dyDescent="0.2">
      <c r="A15" s="198"/>
      <c r="B15" s="199"/>
      <c r="C15" s="199"/>
      <c r="D15" s="199"/>
      <c r="E15" s="200"/>
      <c r="F15" s="199" t="s">
        <v>13</v>
      </c>
      <c r="G15" s="199"/>
      <c r="H15" s="201"/>
      <c r="I15" s="202">
        <f>SUM(I9:I14)</f>
        <v>1.82</v>
      </c>
      <c r="J15" s="176" t="s">
        <v>6</v>
      </c>
    </row>
    <row r="16" spans="1:12" ht="13.5" thickBot="1" x14ac:dyDescent="0.25">
      <c r="A16" s="1080"/>
      <c r="B16" s="1081"/>
      <c r="C16" s="1081"/>
      <c r="D16" s="1081"/>
      <c r="E16" s="1081"/>
      <c r="F16" s="1081"/>
      <c r="G16" s="1081"/>
      <c r="H16" s="1081"/>
      <c r="I16" s="1082"/>
      <c r="J16" s="1083"/>
      <c r="K16" s="203"/>
      <c r="L16" s="177"/>
    </row>
    <row r="17" spans="1:11" ht="15.75" thickBot="1" x14ac:dyDescent="0.25">
      <c r="A17" s="178" t="s">
        <v>117</v>
      </c>
      <c r="B17" s="179"/>
      <c r="C17" s="179"/>
      <c r="D17" s="179"/>
      <c r="E17" s="179"/>
      <c r="F17" s="179"/>
      <c r="G17" s="204"/>
      <c r="H17" s="204"/>
      <c r="I17" s="204"/>
      <c r="J17" s="205"/>
      <c r="K17" s="203"/>
    </row>
    <row r="18" spans="1:11" x14ac:dyDescent="0.2">
      <c r="A18" s="206" t="s">
        <v>24</v>
      </c>
      <c r="B18" s="1" t="s">
        <v>118</v>
      </c>
      <c r="E18" s="207" t="s">
        <v>114</v>
      </c>
      <c r="F18" s="208">
        <f>F11+F9</f>
        <v>6</v>
      </c>
      <c r="G18" s="1" t="s">
        <v>113</v>
      </c>
      <c r="J18" s="2"/>
    </row>
    <row r="19" spans="1:11" x14ac:dyDescent="0.2">
      <c r="A19" s="206"/>
      <c r="E19" s="22"/>
      <c r="J19" s="2"/>
    </row>
    <row r="20" spans="1:11" x14ac:dyDescent="0.2">
      <c r="A20" s="188" t="s">
        <v>32</v>
      </c>
      <c r="B20" s="189" t="s">
        <v>119</v>
      </c>
      <c r="C20" s="193"/>
      <c r="D20" s="193"/>
      <c r="E20" s="194" t="s">
        <v>114</v>
      </c>
      <c r="F20" s="209">
        <f>F13</f>
        <v>2</v>
      </c>
      <c r="G20" s="193" t="s">
        <v>113</v>
      </c>
      <c r="H20" s="193"/>
      <c r="I20" s="193"/>
      <c r="J20" s="210"/>
    </row>
    <row r="21" spans="1:11" ht="13.5" thickBot="1" x14ac:dyDescent="0.25">
      <c r="A21" s="206"/>
      <c r="B21" s="37"/>
      <c r="E21" s="207"/>
      <c r="F21" s="208"/>
      <c r="J21" s="2"/>
    </row>
    <row r="22" spans="1:11" ht="15" x14ac:dyDescent="0.2">
      <c r="A22" s="211" t="s">
        <v>120</v>
      </c>
      <c r="B22" s="212"/>
      <c r="C22" s="212"/>
      <c r="D22" s="212"/>
      <c r="E22" s="213"/>
      <c r="F22" s="212"/>
      <c r="G22" s="212"/>
      <c r="H22" s="212"/>
      <c r="I22" s="212"/>
      <c r="J22" s="214"/>
    </row>
    <row r="23" spans="1:11" x14ac:dyDescent="0.2">
      <c r="A23" s="215" t="s">
        <v>25</v>
      </c>
      <c r="B23" s="184" t="s">
        <v>121</v>
      </c>
      <c r="C23" s="184"/>
      <c r="D23" s="184" t="s">
        <v>122</v>
      </c>
      <c r="E23" s="184" t="s">
        <v>123</v>
      </c>
      <c r="F23" s="184" t="s">
        <v>124</v>
      </c>
      <c r="G23" s="184"/>
      <c r="H23" s="184"/>
      <c r="I23" s="183" t="s">
        <v>125</v>
      </c>
      <c r="J23" s="216"/>
    </row>
    <row r="24" spans="1:11" ht="15" x14ac:dyDescent="0.2">
      <c r="A24" s="217" t="s">
        <v>38</v>
      </c>
      <c r="B24" s="193"/>
      <c r="C24" s="218"/>
      <c r="D24" s="34">
        <v>0.15</v>
      </c>
      <c r="E24" s="35">
        <v>4</v>
      </c>
      <c r="F24" s="219">
        <v>40</v>
      </c>
      <c r="G24" s="193"/>
      <c r="H24" s="193"/>
      <c r="I24" s="220">
        <f>D24*E24*F24</f>
        <v>24</v>
      </c>
      <c r="J24" s="171" t="s">
        <v>6</v>
      </c>
    </row>
    <row r="25" spans="1:11" x14ac:dyDescent="0.2">
      <c r="A25" s="215" t="s">
        <v>26</v>
      </c>
      <c r="B25" s="184" t="s">
        <v>252</v>
      </c>
      <c r="C25" s="184"/>
      <c r="D25" s="184"/>
      <c r="E25" s="184" t="s">
        <v>251</v>
      </c>
      <c r="F25" s="184" t="s">
        <v>124</v>
      </c>
      <c r="G25" s="184"/>
      <c r="H25" s="184"/>
      <c r="I25" s="221" t="s">
        <v>125</v>
      </c>
      <c r="J25" s="175"/>
    </row>
    <row r="26" spans="1:11" ht="15" x14ac:dyDescent="0.2">
      <c r="A26" s="217" t="s">
        <v>170</v>
      </c>
      <c r="B26" s="193"/>
      <c r="C26" s="218"/>
      <c r="D26" s="193"/>
      <c r="E26" s="191">
        <v>4.12</v>
      </c>
      <c r="F26" s="222">
        <f>F9</f>
        <v>2</v>
      </c>
      <c r="G26" s="222"/>
      <c r="H26" s="222"/>
      <c r="I26" s="223">
        <f>E26*F26</f>
        <v>8.24</v>
      </c>
      <c r="J26" s="171" t="s">
        <v>6</v>
      </c>
    </row>
    <row r="27" spans="1:11" x14ac:dyDescent="0.2">
      <c r="A27" s="215" t="s">
        <v>27</v>
      </c>
      <c r="B27" s="184" t="s">
        <v>126</v>
      </c>
      <c r="C27" s="184"/>
      <c r="D27" s="184"/>
      <c r="E27" s="184" t="s">
        <v>127</v>
      </c>
      <c r="F27" s="184" t="s">
        <v>122</v>
      </c>
      <c r="G27" s="184" t="s">
        <v>124</v>
      </c>
      <c r="H27" s="184" t="s">
        <v>128</v>
      </c>
      <c r="I27" s="183" t="s">
        <v>125</v>
      </c>
      <c r="J27" s="175"/>
    </row>
    <row r="28" spans="1:11" ht="15" x14ac:dyDescent="0.2">
      <c r="A28" s="217" t="s">
        <v>39</v>
      </c>
      <c r="B28" s="193"/>
      <c r="C28" s="218"/>
      <c r="D28" s="193"/>
      <c r="E28" s="222">
        <v>4</v>
      </c>
      <c r="F28" s="224">
        <v>0.4</v>
      </c>
      <c r="G28" s="222">
        <v>8</v>
      </c>
      <c r="H28" s="222">
        <f>F11</f>
        <v>4</v>
      </c>
      <c r="I28" s="225">
        <f>E28*F28*G28*H28</f>
        <v>51.2</v>
      </c>
      <c r="J28" s="171" t="s">
        <v>6</v>
      </c>
    </row>
    <row r="29" spans="1:11" x14ac:dyDescent="0.2">
      <c r="A29" s="215" t="s">
        <v>29</v>
      </c>
      <c r="B29" s="184" t="s">
        <v>249</v>
      </c>
      <c r="C29" s="184"/>
      <c r="D29" s="184"/>
      <c r="E29" s="184" t="s">
        <v>127</v>
      </c>
      <c r="F29" s="184" t="s">
        <v>122</v>
      </c>
      <c r="G29" s="184" t="s">
        <v>124</v>
      </c>
      <c r="H29" s="184"/>
      <c r="I29" s="221" t="s">
        <v>125</v>
      </c>
      <c r="J29" s="175"/>
    </row>
    <row r="30" spans="1:11" ht="15" x14ac:dyDescent="0.2">
      <c r="A30" s="217" t="s">
        <v>41</v>
      </c>
      <c r="B30" s="193"/>
      <c r="C30" s="218"/>
      <c r="D30" s="193"/>
      <c r="E30" s="222">
        <v>4.2</v>
      </c>
      <c r="F30" s="224">
        <v>0.4</v>
      </c>
      <c r="G30" s="222">
        <f>F9</f>
        <v>2</v>
      </c>
      <c r="H30" s="222"/>
      <c r="I30" s="223">
        <f>E30*F30*G30</f>
        <v>3.36</v>
      </c>
      <c r="J30" s="171" t="s">
        <v>6</v>
      </c>
    </row>
    <row r="31" spans="1:11" x14ac:dyDescent="0.2">
      <c r="A31" s="215" t="s">
        <v>47</v>
      </c>
      <c r="B31" s="184" t="s">
        <v>250</v>
      </c>
      <c r="C31" s="184"/>
      <c r="D31" s="184"/>
      <c r="E31" s="184" t="s">
        <v>127</v>
      </c>
      <c r="F31" s="184" t="s">
        <v>122</v>
      </c>
      <c r="G31" s="184" t="s">
        <v>124</v>
      </c>
      <c r="H31" s="184"/>
      <c r="I31" s="221" t="s">
        <v>125</v>
      </c>
      <c r="J31" s="175"/>
    </row>
    <row r="32" spans="1:11" ht="15" x14ac:dyDescent="0.2">
      <c r="A32" s="226" t="s">
        <v>258</v>
      </c>
      <c r="C32" s="227"/>
      <c r="E32" s="228">
        <v>20</v>
      </c>
      <c r="F32" s="229">
        <v>0.15</v>
      </c>
      <c r="G32" s="228">
        <f>F9</f>
        <v>2</v>
      </c>
      <c r="H32" s="228"/>
      <c r="I32" s="230">
        <f>E32*F32*G32</f>
        <v>6</v>
      </c>
      <c r="J32" s="172" t="s">
        <v>6</v>
      </c>
    </row>
    <row r="33" spans="1:12" ht="15" x14ac:dyDescent="0.2">
      <c r="A33" s="231" t="s">
        <v>204</v>
      </c>
      <c r="B33" s="184" t="s">
        <v>129</v>
      </c>
      <c r="C33" s="36"/>
      <c r="D33" s="36"/>
      <c r="E33" s="183" t="s">
        <v>130</v>
      </c>
      <c r="F33" s="183" t="s">
        <v>122</v>
      </c>
      <c r="G33" s="183"/>
      <c r="H33" s="184"/>
      <c r="I33" s="221" t="s">
        <v>125</v>
      </c>
      <c r="J33" s="216"/>
    </row>
    <row r="34" spans="1:12" ht="15" x14ac:dyDescent="0.2">
      <c r="A34" s="217" t="s">
        <v>259</v>
      </c>
      <c r="B34" s="193" t="s">
        <v>167</v>
      </c>
      <c r="C34" s="232"/>
      <c r="D34" s="233"/>
      <c r="E34" s="233">
        <f>'MF e Sarj.'!C15</f>
        <v>951.06</v>
      </c>
      <c r="F34" s="193">
        <v>0.15</v>
      </c>
      <c r="G34" s="225"/>
      <c r="H34" s="193"/>
      <c r="I34" s="223">
        <f>F34*E34</f>
        <v>142.66</v>
      </c>
      <c r="J34" s="173" t="s">
        <v>6</v>
      </c>
      <c r="K34" s="1076"/>
      <c r="L34" s="1076"/>
    </row>
    <row r="35" spans="1:12" ht="15.75" thickBot="1" x14ac:dyDescent="0.25">
      <c r="A35" s="234"/>
      <c r="B35" s="3"/>
      <c r="C35" s="235"/>
      <c r="D35" s="3"/>
      <c r="E35" s="236"/>
      <c r="F35" s="237" t="s">
        <v>131</v>
      </c>
      <c r="G35" s="238"/>
      <c r="H35" s="238"/>
      <c r="I35" s="239">
        <f>I34+I28+I24+I32+I30+I26</f>
        <v>235.46</v>
      </c>
      <c r="J35" s="174" t="s">
        <v>6</v>
      </c>
    </row>
    <row r="36" spans="1:12" ht="13.5" thickBot="1" x14ac:dyDescent="0.25">
      <c r="A36" s="1068"/>
      <c r="B36" s="1069"/>
      <c r="C36" s="1069"/>
      <c r="D36" s="1069"/>
      <c r="E36" s="1069"/>
      <c r="F36" s="1069"/>
      <c r="G36" s="1069"/>
      <c r="H36" s="1069"/>
      <c r="I36" s="1069"/>
      <c r="J36" s="1070"/>
    </row>
    <row r="37" spans="1:12" ht="21" x14ac:dyDescent="0.2">
      <c r="A37" s="1071" t="s">
        <v>132</v>
      </c>
      <c r="B37" s="1072"/>
      <c r="C37" s="1072"/>
      <c r="D37" s="1072"/>
      <c r="E37" s="1072"/>
      <c r="F37" s="1072"/>
      <c r="G37" s="1072"/>
      <c r="H37" s="1072"/>
      <c r="I37" s="1072"/>
      <c r="J37" s="1073"/>
    </row>
    <row r="38" spans="1:12" ht="15" customHeight="1" x14ac:dyDescent="0.2">
      <c r="A38" s="1074" t="s">
        <v>133</v>
      </c>
      <c r="B38" s="1075"/>
      <c r="C38" s="1075"/>
      <c r="D38" s="1075"/>
      <c r="E38" s="1075"/>
      <c r="F38" s="1075"/>
      <c r="G38" s="1075"/>
      <c r="H38" s="240" t="s">
        <v>35</v>
      </c>
      <c r="I38" s="241">
        <f>I11+I9</f>
        <v>1.42</v>
      </c>
      <c r="J38" s="242" t="s">
        <v>35</v>
      </c>
      <c r="K38" s="243"/>
    </row>
    <row r="39" spans="1:12" ht="15" customHeight="1" x14ac:dyDescent="0.2">
      <c r="A39" s="1074" t="s">
        <v>133</v>
      </c>
      <c r="B39" s="1075"/>
      <c r="C39" s="1075"/>
      <c r="D39" s="1075"/>
      <c r="E39" s="1075"/>
      <c r="F39" s="1075"/>
      <c r="G39" s="1075"/>
      <c r="H39" s="240" t="s">
        <v>35</v>
      </c>
      <c r="I39" s="241">
        <f>I13</f>
        <v>0.4</v>
      </c>
      <c r="J39" s="242" t="s">
        <v>35</v>
      </c>
      <c r="K39" s="243"/>
    </row>
    <row r="40" spans="1:12" ht="15" customHeight="1" x14ac:dyDescent="0.2">
      <c r="A40" s="1074" t="s">
        <v>134</v>
      </c>
      <c r="B40" s="1075"/>
      <c r="C40" s="1075"/>
      <c r="D40" s="1075"/>
      <c r="E40" s="1075"/>
      <c r="F40" s="1075"/>
      <c r="G40" s="1075"/>
      <c r="H40" s="240" t="s">
        <v>50</v>
      </c>
      <c r="I40" s="244">
        <f>F18</f>
        <v>6</v>
      </c>
      <c r="J40" s="242" t="s">
        <v>50</v>
      </c>
      <c r="K40" s="245"/>
    </row>
    <row r="41" spans="1:12" ht="15" customHeight="1" x14ac:dyDescent="0.2">
      <c r="A41" s="1074" t="s">
        <v>164</v>
      </c>
      <c r="B41" s="1075"/>
      <c r="C41" s="1075"/>
      <c r="D41" s="1075"/>
      <c r="E41" s="1075"/>
      <c r="F41" s="1075"/>
      <c r="G41" s="1075"/>
      <c r="H41" s="240" t="s">
        <v>50</v>
      </c>
      <c r="I41" s="244">
        <f>F20</f>
        <v>2</v>
      </c>
      <c r="J41" s="242" t="s">
        <v>50</v>
      </c>
      <c r="K41" s="245"/>
    </row>
    <row r="42" spans="1:12" ht="15" customHeight="1" thickBot="1" x14ac:dyDescent="0.25">
      <c r="A42" s="1066" t="s">
        <v>135</v>
      </c>
      <c r="B42" s="1067"/>
      <c r="C42" s="1067"/>
      <c r="D42" s="1067"/>
      <c r="E42" s="1067"/>
      <c r="F42" s="1067"/>
      <c r="G42" s="1067"/>
      <c r="H42" s="246" t="s">
        <v>35</v>
      </c>
      <c r="I42" s="247">
        <f>I35</f>
        <v>235.46</v>
      </c>
      <c r="J42" s="248" t="s">
        <v>35</v>
      </c>
      <c r="K42" s="245"/>
    </row>
    <row r="43" spans="1:12" x14ac:dyDescent="0.2">
      <c r="A43" s="203"/>
      <c r="B43" s="203"/>
      <c r="C43" s="203"/>
      <c r="D43" s="203"/>
      <c r="E43" s="203"/>
      <c r="F43" s="203"/>
      <c r="G43" s="203"/>
      <c r="H43" s="203"/>
      <c r="I43" s="203"/>
      <c r="J43" s="203"/>
    </row>
    <row r="44" spans="1:12" x14ac:dyDescent="0.2">
      <c r="A44" s="203"/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2" ht="62.25" customHeight="1" x14ac:dyDescent="0.2"/>
    <row r="46" spans="1:12" x14ac:dyDescent="0.2">
      <c r="B46" s="249" t="str">
        <f>Terrap.!B16</f>
        <v xml:space="preserve">  </v>
      </c>
    </row>
    <row r="47" spans="1:12" x14ac:dyDescent="0.2">
      <c r="B47" s="22" t="str">
        <f>Terrap.!B17</f>
        <v xml:space="preserve">   </v>
      </c>
    </row>
  </sheetData>
  <mergeCells count="20">
    <mergeCell ref="K34:L34"/>
    <mergeCell ref="A40:G40"/>
    <mergeCell ref="A41:G41"/>
    <mergeCell ref="A7:J7"/>
    <mergeCell ref="A16:J16"/>
    <mergeCell ref="A42:G42"/>
    <mergeCell ref="A36:J36"/>
    <mergeCell ref="A37:J37"/>
    <mergeCell ref="A38:G38"/>
    <mergeCell ref="A39:G39"/>
    <mergeCell ref="C1:J1"/>
    <mergeCell ref="C2:J2"/>
    <mergeCell ref="A1:B2"/>
    <mergeCell ref="B6:D6"/>
    <mergeCell ref="F6:G6"/>
    <mergeCell ref="B3:H3"/>
    <mergeCell ref="I3:J6"/>
    <mergeCell ref="B4:H4"/>
    <mergeCell ref="B5:D5"/>
    <mergeCell ref="F5:H5"/>
  </mergeCells>
  <pageMargins left="0.39370078740157483" right="0.39370078740157483" top="0.39370078740157483" bottom="0.39370078740157483" header="0.31496062992125984" footer="0.31496062992125984"/>
  <pageSetup paperSize="9" scale="7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1" zoomScale="115" zoomScaleSheetLayoutView="115" workbookViewId="0">
      <selection activeCell="B42" sqref="B42:F42"/>
    </sheetView>
  </sheetViews>
  <sheetFormatPr defaultRowHeight="12.75" x14ac:dyDescent="0.2"/>
  <cols>
    <col min="1" max="1" width="13.5703125" style="22" customWidth="1"/>
    <col min="2" max="2" width="34.5703125" style="1" customWidth="1"/>
    <col min="3" max="3" width="7.42578125" style="1" customWidth="1"/>
    <col min="4" max="5" width="9.7109375" style="1" customWidth="1"/>
    <col min="6" max="6" width="6.42578125" style="1" customWidth="1"/>
    <col min="7" max="7" width="8.42578125" style="22" customWidth="1"/>
    <col min="8" max="8" width="11.7109375" style="1" customWidth="1"/>
    <col min="9" max="9" width="12.140625" style="1" customWidth="1"/>
    <col min="10" max="10" width="11.5703125" style="1" customWidth="1"/>
    <col min="11" max="16384" width="9.140625" style="1"/>
  </cols>
  <sheetData>
    <row r="1" spans="1:10" ht="15.75" x14ac:dyDescent="0.25">
      <c r="A1" s="1116" t="str">
        <f>Terrap.!C1</f>
        <v>ESTADO DE MATO GROSSO</v>
      </c>
      <c r="B1" s="1117"/>
      <c r="C1" s="1117"/>
      <c r="D1" s="1117"/>
      <c r="E1" s="1117"/>
      <c r="F1" s="1117"/>
      <c r="G1" s="1117"/>
      <c r="H1" s="1117"/>
      <c r="I1" s="1117"/>
      <c r="J1" s="1118"/>
    </row>
    <row r="2" spans="1:10" ht="15.75" x14ac:dyDescent="0.25">
      <c r="A2" s="1119" t="str">
        <f>Terrap.!C2</f>
        <v>PREFEITURA MUNICIPAL DE JACIARA</v>
      </c>
      <c r="B2" s="1120"/>
      <c r="C2" s="1120"/>
      <c r="D2" s="1120"/>
      <c r="E2" s="1120"/>
      <c r="F2" s="1120"/>
      <c r="G2" s="1120"/>
      <c r="H2" s="1120"/>
      <c r="I2" s="1120"/>
      <c r="J2" s="1121"/>
    </row>
    <row r="3" spans="1:10" ht="15.75" x14ac:dyDescent="0.25">
      <c r="A3" s="163"/>
      <c r="B3" s="144"/>
      <c r="C3" s="144"/>
      <c r="D3" s="144"/>
      <c r="E3" s="144"/>
      <c r="F3" s="144"/>
      <c r="G3" s="144"/>
      <c r="H3" s="144"/>
      <c r="I3" s="144"/>
      <c r="J3" s="164"/>
    </row>
    <row r="4" spans="1:10" ht="15.75" x14ac:dyDescent="0.25">
      <c r="A4" s="165" t="s">
        <v>57</v>
      </c>
      <c r="B4" s="1122" t="str">
        <f>Terrap.!B3</f>
        <v>PAVIMENTAÇÃO ASFALTICA EM TSD</v>
      </c>
      <c r="C4" s="1122"/>
      <c r="D4" s="1122"/>
      <c r="E4" s="1122"/>
      <c r="F4" s="1122"/>
      <c r="G4" s="1122"/>
      <c r="H4" s="1122"/>
      <c r="I4" s="1122"/>
      <c r="J4" s="1123"/>
    </row>
    <row r="5" spans="1:10" ht="12.75" customHeight="1" x14ac:dyDescent="0.25">
      <c r="A5" s="165" t="s">
        <v>58</v>
      </c>
      <c r="B5" s="1122" t="str">
        <f>Terrap.!B4</f>
        <v>DIVERSAS RUAS - DISTRITO DE CELMA</v>
      </c>
      <c r="C5" s="1122"/>
      <c r="D5" s="1122"/>
      <c r="E5" s="1122"/>
      <c r="F5" s="1122"/>
      <c r="G5" s="1122"/>
      <c r="H5" s="1122"/>
      <c r="I5" s="1122"/>
      <c r="J5" s="1123"/>
    </row>
    <row r="6" spans="1:10" ht="15.75" customHeight="1" x14ac:dyDescent="0.25">
      <c r="A6" s="165" t="s">
        <v>59</v>
      </c>
      <c r="B6" s="1122" t="str">
        <f>Terrap.!B5</f>
        <v>PREFEITURA MUNICIPAL DE JACIARA</v>
      </c>
      <c r="C6" s="1122"/>
      <c r="D6" s="1122"/>
      <c r="E6" s="1122"/>
      <c r="F6" s="1122"/>
      <c r="G6" s="1122"/>
      <c r="H6" s="1122"/>
      <c r="I6" s="990" t="str">
        <f>Terrap.!I4</f>
        <v>SINAPI - JANEIRO / 2019                                                                             ANP 12/2018 (com desoneração)</v>
      </c>
      <c r="J6" s="992"/>
    </row>
    <row r="7" spans="1:10" ht="18" customHeight="1" thickBot="1" x14ac:dyDescent="0.3">
      <c r="A7" s="166" t="s">
        <v>60</v>
      </c>
      <c r="B7" s="169">
        <f>Pavim.!C14</f>
        <v>3632.82</v>
      </c>
      <c r="C7" s="170"/>
      <c r="D7" s="167"/>
      <c r="E7" s="168" t="s">
        <v>61</v>
      </c>
      <c r="F7" s="1126">
        <f>Terrap.!F6</f>
        <v>0.26019999999999999</v>
      </c>
      <c r="G7" s="1126"/>
      <c r="H7" s="168" t="s">
        <v>62</v>
      </c>
      <c r="I7" s="1124"/>
      <c r="J7" s="1125"/>
    </row>
    <row r="8" spans="1:10" ht="18" customHeight="1" thickBot="1" x14ac:dyDescent="0.25">
      <c r="A8" s="1023" t="s">
        <v>354</v>
      </c>
      <c r="B8" s="1024"/>
      <c r="C8" s="1024"/>
      <c r="D8" s="1024"/>
      <c r="E8" s="1024"/>
      <c r="F8" s="1024"/>
      <c r="G8" s="1024"/>
      <c r="H8" s="1024"/>
      <c r="I8" s="1024"/>
      <c r="J8" s="1025"/>
    </row>
    <row r="9" spans="1:10" ht="18" customHeight="1" thickBot="1" x14ac:dyDescent="0.25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8.75" customHeight="1" thickBot="1" x14ac:dyDescent="0.25">
      <c r="A10" s="1105" t="s">
        <v>208</v>
      </c>
      <c r="B10" s="1106"/>
      <c r="C10" s="1106"/>
      <c r="D10" s="1106"/>
      <c r="E10" s="1106"/>
      <c r="F10" s="1106"/>
      <c r="G10" s="1106"/>
      <c r="H10" s="1106"/>
      <c r="I10" s="1106"/>
      <c r="J10" s="1107"/>
    </row>
    <row r="11" spans="1:10" ht="18.75" customHeight="1" thickBot="1" x14ac:dyDescent="0.25">
      <c r="A11" s="291" t="s">
        <v>355</v>
      </c>
      <c r="B11" s="1111" t="s">
        <v>356</v>
      </c>
      <c r="C11" s="1111"/>
      <c r="D11" s="1111"/>
      <c r="E11" s="1111"/>
      <c r="F11" s="1111"/>
      <c r="G11" s="1111"/>
      <c r="H11" s="1111"/>
      <c r="I11" s="1111"/>
      <c r="J11" s="1112"/>
    </row>
    <row r="12" spans="1:10" x14ac:dyDescent="0.2">
      <c r="A12" s="279" t="s">
        <v>217</v>
      </c>
      <c r="B12" s="1113" t="s">
        <v>212</v>
      </c>
      <c r="C12" s="1114"/>
      <c r="D12" s="1114"/>
      <c r="E12" s="1114"/>
      <c r="F12" s="1115"/>
      <c r="G12" s="269" t="s">
        <v>213</v>
      </c>
      <c r="H12" s="269" t="s">
        <v>214</v>
      </c>
      <c r="I12" s="269" t="s">
        <v>215</v>
      </c>
      <c r="J12" s="290" t="s">
        <v>216</v>
      </c>
    </row>
    <row r="13" spans="1:10" ht="25.5" customHeight="1" x14ac:dyDescent="0.2">
      <c r="A13" s="284">
        <v>6256</v>
      </c>
      <c r="B13" s="1099" t="s">
        <v>218</v>
      </c>
      <c r="C13" s="1100"/>
      <c r="D13" s="1100"/>
      <c r="E13" s="1100"/>
      <c r="F13" s="1101"/>
      <c r="G13" s="54" t="s">
        <v>219</v>
      </c>
      <c r="H13" s="251">
        <v>7.6899999999999998E-3</v>
      </c>
      <c r="I13" s="252">
        <v>168.45</v>
      </c>
      <c r="J13" s="264">
        <f t="shared" ref="J13:J18" si="0">ROUND((H13*I13),2)</f>
        <v>1.3</v>
      </c>
    </row>
    <row r="14" spans="1:10" x14ac:dyDescent="0.2">
      <c r="A14" s="284">
        <v>6879</v>
      </c>
      <c r="B14" s="1099" t="s">
        <v>220</v>
      </c>
      <c r="C14" s="1100"/>
      <c r="D14" s="1100"/>
      <c r="E14" s="1100"/>
      <c r="F14" s="1101"/>
      <c r="G14" s="54" t="s">
        <v>219</v>
      </c>
      <c r="H14" s="251">
        <v>4.62E-3</v>
      </c>
      <c r="I14" s="252">
        <v>114.17</v>
      </c>
      <c r="J14" s="264">
        <f t="shared" si="0"/>
        <v>0.53</v>
      </c>
    </row>
    <row r="15" spans="1:10" ht="31.5" customHeight="1" x14ac:dyDescent="0.2">
      <c r="A15" s="284">
        <v>6880</v>
      </c>
      <c r="B15" s="1099" t="s">
        <v>220</v>
      </c>
      <c r="C15" s="1100"/>
      <c r="D15" s="1100"/>
      <c r="E15" s="1100"/>
      <c r="F15" s="1101"/>
      <c r="G15" s="54" t="s">
        <v>221</v>
      </c>
      <c r="H15" s="251">
        <v>3.0799999999999998E-3</v>
      </c>
      <c r="I15" s="252">
        <v>43.09</v>
      </c>
      <c r="J15" s="264">
        <f t="shared" si="0"/>
        <v>0.13</v>
      </c>
    </row>
    <row r="16" spans="1:10" ht="28.5" customHeight="1" x14ac:dyDescent="0.2">
      <c r="A16" s="284">
        <v>7018</v>
      </c>
      <c r="B16" s="1099" t="s">
        <v>222</v>
      </c>
      <c r="C16" s="1100"/>
      <c r="D16" s="1100"/>
      <c r="E16" s="1100"/>
      <c r="F16" s="1101"/>
      <c r="G16" s="54" t="s">
        <v>219</v>
      </c>
      <c r="H16" s="251">
        <v>3.8500000000000001E-3</v>
      </c>
      <c r="I16" s="252">
        <v>179.91</v>
      </c>
      <c r="J16" s="264">
        <f t="shared" si="0"/>
        <v>0.69</v>
      </c>
    </row>
    <row r="17" spans="1:10" ht="30.75" customHeight="1" x14ac:dyDescent="0.2">
      <c r="A17" s="284">
        <v>7021</v>
      </c>
      <c r="B17" s="1099" t="s">
        <v>223</v>
      </c>
      <c r="C17" s="1100"/>
      <c r="D17" s="1100"/>
      <c r="E17" s="1100"/>
      <c r="F17" s="1101"/>
      <c r="G17" s="54" t="s">
        <v>224</v>
      </c>
      <c r="H17" s="251">
        <f>H16</f>
        <v>3.8500000000000001E-3</v>
      </c>
      <c r="I17" s="252">
        <v>12.24</v>
      </c>
      <c r="J17" s="264">
        <f t="shared" si="0"/>
        <v>0.05</v>
      </c>
    </row>
    <row r="18" spans="1:10" ht="21" customHeight="1" x14ac:dyDescent="0.2">
      <c r="A18" s="284">
        <v>73408</v>
      </c>
      <c r="B18" s="1099" t="s">
        <v>225</v>
      </c>
      <c r="C18" s="1100"/>
      <c r="D18" s="1100"/>
      <c r="E18" s="1100"/>
      <c r="F18" s="1101"/>
      <c r="G18" s="54" t="s">
        <v>219</v>
      </c>
      <c r="H18" s="251">
        <v>7.6899999999999998E-3</v>
      </c>
      <c r="I18" s="252">
        <v>113.44</v>
      </c>
      <c r="J18" s="264">
        <f t="shared" si="0"/>
        <v>0.87</v>
      </c>
    </row>
    <row r="19" spans="1:10" ht="13.5" thickBot="1" x14ac:dyDescent="0.25">
      <c r="A19" s="265"/>
      <c r="B19" s="1084" t="s">
        <v>226</v>
      </c>
      <c r="C19" s="1085"/>
      <c r="D19" s="1085"/>
      <c r="E19" s="1085"/>
      <c r="F19" s="1086"/>
      <c r="G19" s="283"/>
      <c r="H19" s="267"/>
      <c r="I19" s="266"/>
      <c r="J19" s="268">
        <f>SUM(J13:J18)</f>
        <v>3.57</v>
      </c>
    </row>
    <row r="20" spans="1:10" ht="13.5" thickBot="1" x14ac:dyDescent="0.25">
      <c r="A20" s="1096"/>
      <c r="B20" s="1097"/>
      <c r="C20" s="1097"/>
      <c r="D20" s="1097"/>
      <c r="E20" s="1097"/>
      <c r="F20" s="1097"/>
      <c r="G20" s="1097"/>
      <c r="H20" s="1097"/>
      <c r="I20" s="1097"/>
      <c r="J20" s="1098"/>
    </row>
    <row r="21" spans="1:10" x14ac:dyDescent="0.2">
      <c r="A21" s="259" t="s">
        <v>217</v>
      </c>
      <c r="B21" s="1087" t="s">
        <v>227</v>
      </c>
      <c r="C21" s="1088"/>
      <c r="D21" s="1088"/>
      <c r="E21" s="1088"/>
      <c r="F21" s="1089"/>
      <c r="G21" s="260" t="s">
        <v>213</v>
      </c>
      <c r="H21" s="261" t="s">
        <v>214</v>
      </c>
      <c r="I21" s="260" t="s">
        <v>215</v>
      </c>
      <c r="J21" s="262" t="s">
        <v>216</v>
      </c>
    </row>
    <row r="22" spans="1:10" x14ac:dyDescent="0.2">
      <c r="A22" s="263">
        <v>88316</v>
      </c>
      <c r="B22" s="1102" t="s">
        <v>360</v>
      </c>
      <c r="C22" s="1103"/>
      <c r="D22" s="1103"/>
      <c r="E22" s="1103"/>
      <c r="F22" s="1104"/>
      <c r="G22" s="54" t="s">
        <v>228</v>
      </c>
      <c r="H22" s="253">
        <v>5.3850000000000002E-2</v>
      </c>
      <c r="I22" s="252">
        <v>11.49</v>
      </c>
      <c r="J22" s="264">
        <f>ROUND((H22*I22),2)</f>
        <v>0.62</v>
      </c>
    </row>
    <row r="23" spans="1:10" ht="13.5" thickBot="1" x14ac:dyDescent="0.25">
      <c r="A23" s="265"/>
      <c r="B23" s="1084" t="s">
        <v>229</v>
      </c>
      <c r="C23" s="1085"/>
      <c r="D23" s="1085"/>
      <c r="E23" s="1085"/>
      <c r="F23" s="1086"/>
      <c r="G23" s="283"/>
      <c r="H23" s="267"/>
      <c r="I23" s="266"/>
      <c r="J23" s="268">
        <f>SUM(J22:J22)</f>
        <v>0.62</v>
      </c>
    </row>
    <row r="24" spans="1:10" ht="13.5" thickBot="1" x14ac:dyDescent="0.25">
      <c r="A24" s="1096"/>
      <c r="B24" s="1097"/>
      <c r="C24" s="1097"/>
      <c r="D24" s="1097"/>
      <c r="E24" s="1097"/>
      <c r="F24" s="1097"/>
      <c r="G24" s="1097"/>
      <c r="H24" s="1097"/>
      <c r="I24" s="1097"/>
      <c r="J24" s="1098"/>
    </row>
    <row r="25" spans="1:10" x14ac:dyDescent="0.2">
      <c r="A25" s="259" t="s">
        <v>217</v>
      </c>
      <c r="B25" s="1087" t="s">
        <v>230</v>
      </c>
      <c r="C25" s="1088"/>
      <c r="D25" s="1088"/>
      <c r="E25" s="1088"/>
      <c r="F25" s="1089"/>
      <c r="G25" s="260" t="s">
        <v>213</v>
      </c>
      <c r="H25" s="272" t="s">
        <v>214</v>
      </c>
      <c r="I25" s="271" t="s">
        <v>215</v>
      </c>
      <c r="J25" s="273" t="s">
        <v>216</v>
      </c>
    </row>
    <row r="26" spans="1:10" ht="29.25" customHeight="1" x14ac:dyDescent="0.2">
      <c r="A26" s="263">
        <v>505</v>
      </c>
      <c r="B26" s="1099" t="s">
        <v>231</v>
      </c>
      <c r="C26" s="1100"/>
      <c r="D26" s="1100"/>
      <c r="E26" s="1100"/>
      <c r="F26" s="1101"/>
      <c r="G26" s="54" t="s">
        <v>232</v>
      </c>
      <c r="H26" s="251"/>
      <c r="I26" s="252">
        <v>1.96</v>
      </c>
      <c r="J26" s="264">
        <f>ROUND((H26*I26),2)</f>
        <v>0</v>
      </c>
    </row>
    <row r="27" spans="1:10" ht="25.5" customHeight="1" x14ac:dyDescent="0.2">
      <c r="A27" s="274" t="s">
        <v>311</v>
      </c>
      <c r="B27" s="1099" t="s">
        <v>357</v>
      </c>
      <c r="C27" s="1100"/>
      <c r="D27" s="1100"/>
      <c r="E27" s="1100"/>
      <c r="F27" s="1101"/>
      <c r="G27" s="54" t="s">
        <v>233</v>
      </c>
      <c r="H27" s="251">
        <v>2.47E-2</v>
      </c>
      <c r="I27" s="254">
        <f>30*1.4</f>
        <v>42</v>
      </c>
      <c r="J27" s="264">
        <f>ROUND((H27*I27),2)</f>
        <v>1.04</v>
      </c>
    </row>
    <row r="28" spans="1:10" ht="13.5" thickBot="1" x14ac:dyDescent="0.25">
      <c r="A28" s="265"/>
      <c r="B28" s="1084" t="s">
        <v>234</v>
      </c>
      <c r="C28" s="1085"/>
      <c r="D28" s="1085"/>
      <c r="E28" s="1085"/>
      <c r="F28" s="1086"/>
      <c r="G28" s="283"/>
      <c r="H28" s="266"/>
      <c r="I28" s="266"/>
      <c r="J28" s="268">
        <f>SUM(J26:J27)</f>
        <v>1.04</v>
      </c>
    </row>
    <row r="29" spans="1:10" ht="13.5" thickBot="1" x14ac:dyDescent="0.25">
      <c r="A29" s="286"/>
      <c r="B29" s="275"/>
      <c r="C29" s="275"/>
      <c r="D29" s="275"/>
      <c r="E29" s="275"/>
      <c r="F29" s="275"/>
      <c r="G29" s="288"/>
      <c r="H29" s="275"/>
      <c r="I29" s="275"/>
      <c r="J29" s="287"/>
    </row>
    <row r="30" spans="1:10" x14ac:dyDescent="0.2">
      <c r="A30" s="276"/>
      <c r="B30" s="1087" t="s">
        <v>132</v>
      </c>
      <c r="C30" s="1088"/>
      <c r="D30" s="1088"/>
      <c r="E30" s="1088"/>
      <c r="F30" s="1089"/>
      <c r="G30" s="289"/>
      <c r="H30" s="277"/>
      <c r="I30" s="277"/>
      <c r="J30" s="278"/>
    </row>
    <row r="31" spans="1:10" x14ac:dyDescent="0.2">
      <c r="A31" s="279"/>
      <c r="B31" s="1090" t="s">
        <v>235</v>
      </c>
      <c r="C31" s="1091"/>
      <c r="D31" s="1091"/>
      <c r="E31" s="1091"/>
      <c r="F31" s="1092"/>
      <c r="G31" s="269"/>
      <c r="H31" s="270"/>
      <c r="I31" s="270"/>
      <c r="J31" s="280">
        <f>J19+J23+J28</f>
        <v>5.23</v>
      </c>
    </row>
    <row r="32" spans="1:10" x14ac:dyDescent="0.2">
      <c r="A32" s="281"/>
      <c r="B32" s="1090" t="s">
        <v>236</v>
      </c>
      <c r="C32" s="1091"/>
      <c r="D32" s="1091"/>
      <c r="E32" s="1091"/>
      <c r="F32" s="1092"/>
      <c r="G32" s="51"/>
      <c r="H32" s="250"/>
      <c r="I32" s="255">
        <v>0</v>
      </c>
      <c r="J32" s="282">
        <f>ROUND((J31*I32),2)</f>
        <v>0</v>
      </c>
    </row>
    <row r="33" spans="1:10" ht="13.5" thickBot="1" x14ac:dyDescent="0.25">
      <c r="A33" s="265"/>
      <c r="B33" s="1093" t="s">
        <v>237</v>
      </c>
      <c r="C33" s="1094"/>
      <c r="D33" s="1094"/>
      <c r="E33" s="1094"/>
      <c r="F33" s="1095"/>
      <c r="G33" s="283"/>
      <c r="H33" s="266"/>
      <c r="I33" s="266"/>
      <c r="J33" s="268">
        <f>J31+J32</f>
        <v>5.23</v>
      </c>
    </row>
    <row r="34" spans="1:10" ht="13.5" thickBot="1" x14ac:dyDescent="0.25">
      <c r="A34" s="256"/>
      <c r="B34" s="257"/>
      <c r="C34" s="257"/>
      <c r="D34" s="257"/>
      <c r="E34" s="257"/>
      <c r="F34" s="257"/>
      <c r="G34" s="256"/>
      <c r="H34" s="257"/>
      <c r="I34" s="257"/>
      <c r="J34" s="257"/>
    </row>
    <row r="35" spans="1:10" ht="15.75" customHeight="1" thickBot="1" x14ac:dyDescent="0.25">
      <c r="A35" s="1108" t="s">
        <v>209</v>
      </c>
      <c r="B35" s="1109"/>
      <c r="C35" s="1109"/>
      <c r="D35" s="1109"/>
      <c r="E35" s="1109"/>
      <c r="F35" s="1109"/>
      <c r="G35" s="1109"/>
      <c r="H35" s="1109"/>
      <c r="I35" s="1109"/>
      <c r="J35" s="1110"/>
    </row>
    <row r="36" spans="1:10" ht="18.75" customHeight="1" thickBot="1" x14ac:dyDescent="0.25">
      <c r="A36" s="291" t="s">
        <v>355</v>
      </c>
      <c r="B36" s="1111" t="s">
        <v>359</v>
      </c>
      <c r="C36" s="1111"/>
      <c r="D36" s="1111"/>
      <c r="E36" s="1111"/>
      <c r="F36" s="1111"/>
      <c r="G36" s="1111"/>
      <c r="H36" s="1111"/>
      <c r="I36" s="1111"/>
      <c r="J36" s="1112"/>
    </row>
    <row r="37" spans="1:10" x14ac:dyDescent="0.2">
      <c r="A37" s="259" t="s">
        <v>217</v>
      </c>
      <c r="B37" s="1087" t="s">
        <v>212</v>
      </c>
      <c r="C37" s="1088"/>
      <c r="D37" s="1088"/>
      <c r="E37" s="1088"/>
      <c r="F37" s="1089"/>
      <c r="G37" s="260" t="s">
        <v>213</v>
      </c>
      <c r="H37" s="260" t="s">
        <v>214</v>
      </c>
      <c r="I37" s="260" t="s">
        <v>215</v>
      </c>
      <c r="J37" s="262" t="s">
        <v>216</v>
      </c>
    </row>
    <row r="38" spans="1:10" ht="27" customHeight="1" x14ac:dyDescent="0.2">
      <c r="A38" s="284">
        <v>73353</v>
      </c>
      <c r="B38" s="1099" t="s">
        <v>238</v>
      </c>
      <c r="C38" s="1100"/>
      <c r="D38" s="1100"/>
      <c r="E38" s="1100"/>
      <c r="F38" s="1101"/>
      <c r="G38" s="54" t="s">
        <v>219</v>
      </c>
      <c r="H38" s="251">
        <v>5.3000000000000001E-5</v>
      </c>
      <c r="I38" s="252">
        <v>50.58</v>
      </c>
      <c r="J38" s="264">
        <f t="shared" ref="J38:J42" si="1">ROUND((H38*I38),2)</f>
        <v>0</v>
      </c>
    </row>
    <row r="39" spans="1:10" ht="27" customHeight="1" x14ac:dyDescent="0.2">
      <c r="A39" s="284">
        <v>73389</v>
      </c>
      <c r="B39" s="1099" t="s">
        <v>239</v>
      </c>
      <c r="C39" s="1100"/>
      <c r="D39" s="1100"/>
      <c r="E39" s="1100"/>
      <c r="F39" s="1101"/>
      <c r="G39" s="54" t="s">
        <v>219</v>
      </c>
      <c r="H39" s="251">
        <v>1.067E-3</v>
      </c>
      <c r="I39" s="252">
        <v>8.17</v>
      </c>
      <c r="J39" s="264">
        <f t="shared" si="1"/>
        <v>0.01</v>
      </c>
    </row>
    <row r="40" spans="1:10" ht="27" customHeight="1" x14ac:dyDescent="0.2">
      <c r="A40" s="284">
        <v>73453</v>
      </c>
      <c r="B40" s="1099" t="s">
        <v>240</v>
      </c>
      <c r="C40" s="1100"/>
      <c r="D40" s="1100"/>
      <c r="E40" s="1100"/>
      <c r="F40" s="1101"/>
      <c r="G40" s="54" t="s">
        <v>221</v>
      </c>
      <c r="H40" s="251">
        <v>1.067E-3</v>
      </c>
      <c r="I40" s="252">
        <v>58.94</v>
      </c>
      <c r="J40" s="264">
        <f t="shared" si="1"/>
        <v>0.06</v>
      </c>
    </row>
    <row r="41" spans="1:10" ht="27" customHeight="1" x14ac:dyDescent="0.2">
      <c r="A41" s="284">
        <v>73479</v>
      </c>
      <c r="B41" s="1099" t="s">
        <v>241</v>
      </c>
      <c r="C41" s="1100"/>
      <c r="D41" s="1100"/>
      <c r="E41" s="1100"/>
      <c r="F41" s="1101"/>
      <c r="G41" s="54" t="s">
        <v>219</v>
      </c>
      <c r="H41" s="251">
        <v>7.4700000000000005E-4</v>
      </c>
      <c r="I41" s="252">
        <v>194.32</v>
      </c>
      <c r="J41" s="264">
        <f t="shared" si="1"/>
        <v>0.15</v>
      </c>
    </row>
    <row r="42" spans="1:10" ht="27" customHeight="1" x14ac:dyDescent="0.2">
      <c r="A42" s="284">
        <v>73529</v>
      </c>
      <c r="B42" s="1099" t="s">
        <v>242</v>
      </c>
      <c r="C42" s="1100"/>
      <c r="D42" s="1100"/>
      <c r="E42" s="1100"/>
      <c r="F42" s="1101"/>
      <c r="G42" s="54" t="s">
        <v>224</v>
      </c>
      <c r="H42" s="251">
        <v>1.067E-3</v>
      </c>
      <c r="I42" s="252">
        <v>87.34</v>
      </c>
      <c r="J42" s="264">
        <f t="shared" si="1"/>
        <v>0.09</v>
      </c>
    </row>
    <row r="43" spans="1:10" ht="13.5" thickBot="1" x14ac:dyDescent="0.25">
      <c r="A43" s="265"/>
      <c r="B43" s="1084" t="s">
        <v>226</v>
      </c>
      <c r="C43" s="1085"/>
      <c r="D43" s="1085"/>
      <c r="E43" s="1085"/>
      <c r="F43" s="1086"/>
      <c r="G43" s="283"/>
      <c r="H43" s="267"/>
      <c r="I43" s="266"/>
      <c r="J43" s="268">
        <f>SUM(J38:J42)</f>
        <v>0.31</v>
      </c>
    </row>
    <row r="44" spans="1:10" ht="13.5" thickBot="1" x14ac:dyDescent="0.25">
      <c r="A44" s="1096"/>
      <c r="B44" s="1097"/>
      <c r="C44" s="1097"/>
      <c r="D44" s="1097"/>
      <c r="E44" s="1097"/>
      <c r="F44" s="1097"/>
      <c r="G44" s="1097"/>
      <c r="H44" s="1097"/>
      <c r="I44" s="1097"/>
      <c r="J44" s="1098"/>
    </row>
    <row r="45" spans="1:10" x14ac:dyDescent="0.2">
      <c r="A45" s="259" t="s">
        <v>217</v>
      </c>
      <c r="B45" s="1087" t="s">
        <v>227</v>
      </c>
      <c r="C45" s="1088"/>
      <c r="D45" s="1088"/>
      <c r="E45" s="1088"/>
      <c r="F45" s="1089"/>
      <c r="G45" s="260" t="s">
        <v>213</v>
      </c>
      <c r="H45" s="261" t="s">
        <v>214</v>
      </c>
      <c r="I45" s="260" t="s">
        <v>215</v>
      </c>
      <c r="J45" s="262" t="s">
        <v>216</v>
      </c>
    </row>
    <row r="46" spans="1:10" x14ac:dyDescent="0.2">
      <c r="A46" s="263">
        <v>88316</v>
      </c>
      <c r="B46" s="1102" t="s">
        <v>360</v>
      </c>
      <c r="C46" s="1103"/>
      <c r="D46" s="1103"/>
      <c r="E46" s="1103"/>
      <c r="F46" s="1104"/>
      <c r="G46" s="54" t="s">
        <v>224</v>
      </c>
      <c r="H46" s="253">
        <v>4.3E-3</v>
      </c>
      <c r="I46" s="252">
        <v>11.49</v>
      </c>
      <c r="J46" s="264">
        <f>ROUND((H46*I46),2)</f>
        <v>0.05</v>
      </c>
    </row>
    <row r="47" spans="1:10" ht="13.5" thickBot="1" x14ac:dyDescent="0.25">
      <c r="A47" s="265"/>
      <c r="B47" s="1084" t="s">
        <v>229</v>
      </c>
      <c r="C47" s="1085"/>
      <c r="D47" s="1085"/>
      <c r="E47" s="1085"/>
      <c r="F47" s="1086"/>
      <c r="G47" s="283"/>
      <c r="H47" s="267"/>
      <c r="I47" s="266"/>
      <c r="J47" s="268">
        <f>SUM(J46:J46)</f>
        <v>0.05</v>
      </c>
    </row>
    <row r="48" spans="1:10" ht="13.5" thickBot="1" x14ac:dyDescent="0.25">
      <c r="A48" s="1096"/>
      <c r="B48" s="1097"/>
      <c r="C48" s="1097"/>
      <c r="D48" s="1097"/>
      <c r="E48" s="1097"/>
      <c r="F48" s="1097"/>
      <c r="G48" s="1097"/>
      <c r="H48" s="1097"/>
      <c r="I48" s="1097"/>
      <c r="J48" s="1098"/>
    </row>
    <row r="49" spans="1:10" x14ac:dyDescent="0.2">
      <c r="A49" s="259" t="s">
        <v>217</v>
      </c>
      <c r="B49" s="1087" t="s">
        <v>230</v>
      </c>
      <c r="C49" s="1088"/>
      <c r="D49" s="1088"/>
      <c r="E49" s="1088"/>
      <c r="F49" s="1089"/>
      <c r="G49" s="260" t="s">
        <v>213</v>
      </c>
      <c r="H49" s="272" t="s">
        <v>214</v>
      </c>
      <c r="I49" s="271" t="s">
        <v>215</v>
      </c>
      <c r="J49" s="273" t="s">
        <v>216</v>
      </c>
    </row>
    <row r="50" spans="1:10" ht="26.25" customHeight="1" x14ac:dyDescent="0.2">
      <c r="A50" s="263">
        <v>505</v>
      </c>
      <c r="B50" s="1099" t="s">
        <v>231</v>
      </c>
      <c r="C50" s="1100"/>
      <c r="D50" s="1100"/>
      <c r="E50" s="1100"/>
      <c r="F50" s="1101"/>
      <c r="G50" s="54" t="s">
        <v>232</v>
      </c>
      <c r="H50" s="251"/>
      <c r="I50" s="252">
        <v>1.96</v>
      </c>
      <c r="J50" s="264">
        <f>ROUND((H50*I50),2)</f>
        <v>0</v>
      </c>
    </row>
    <row r="51" spans="1:10" ht="24.75" customHeight="1" x14ac:dyDescent="0.2">
      <c r="A51" s="274" t="s">
        <v>311</v>
      </c>
      <c r="B51" s="1099" t="s">
        <v>358</v>
      </c>
      <c r="C51" s="1100"/>
      <c r="D51" s="1100"/>
      <c r="E51" s="1100"/>
      <c r="F51" s="1101"/>
      <c r="G51" s="54" t="s">
        <v>233</v>
      </c>
      <c r="H51" s="251">
        <v>7.1999999999999998E-3</v>
      </c>
      <c r="I51" s="254">
        <f>30*1.4</f>
        <v>42</v>
      </c>
      <c r="J51" s="264">
        <f>ROUND((H51*I51),2)</f>
        <v>0.3</v>
      </c>
    </row>
    <row r="52" spans="1:10" ht="13.5" thickBot="1" x14ac:dyDescent="0.25">
      <c r="A52" s="265"/>
      <c r="B52" s="1084" t="s">
        <v>234</v>
      </c>
      <c r="C52" s="1085"/>
      <c r="D52" s="1085"/>
      <c r="E52" s="1085"/>
      <c r="F52" s="1086"/>
      <c r="G52" s="283"/>
      <c r="H52" s="266"/>
      <c r="I52" s="266"/>
      <c r="J52" s="268">
        <f>SUM(J50:J51)</f>
        <v>0.3</v>
      </c>
    </row>
    <row r="53" spans="1:10" ht="13.5" thickBot="1" x14ac:dyDescent="0.25">
      <c r="A53" s="286"/>
      <c r="B53" s="275"/>
      <c r="C53" s="275"/>
      <c r="D53" s="275"/>
      <c r="E53" s="275"/>
      <c r="F53" s="275"/>
      <c r="G53" s="288"/>
      <c r="H53" s="275"/>
      <c r="I53" s="275"/>
      <c r="J53" s="287"/>
    </row>
    <row r="54" spans="1:10" x14ac:dyDescent="0.2">
      <c r="A54" s="276"/>
      <c r="B54" s="1087" t="s">
        <v>132</v>
      </c>
      <c r="C54" s="1088"/>
      <c r="D54" s="1088"/>
      <c r="E54" s="1088"/>
      <c r="F54" s="1089"/>
      <c r="G54" s="289"/>
      <c r="H54" s="277"/>
      <c r="I54" s="277"/>
      <c r="J54" s="278"/>
    </row>
    <row r="55" spans="1:10" x14ac:dyDescent="0.2">
      <c r="A55" s="279"/>
      <c r="B55" s="1090" t="s">
        <v>235</v>
      </c>
      <c r="C55" s="1091"/>
      <c r="D55" s="1091"/>
      <c r="E55" s="1091"/>
      <c r="F55" s="1092"/>
      <c r="G55" s="269"/>
      <c r="H55" s="270"/>
      <c r="I55" s="270"/>
      <c r="J55" s="280">
        <f>J43+J47+J52</f>
        <v>0.66</v>
      </c>
    </row>
    <row r="56" spans="1:10" x14ac:dyDescent="0.2">
      <c r="A56" s="281"/>
      <c r="B56" s="1090" t="s">
        <v>236</v>
      </c>
      <c r="C56" s="1091"/>
      <c r="D56" s="1091"/>
      <c r="E56" s="1091"/>
      <c r="F56" s="1092"/>
      <c r="G56" s="51"/>
      <c r="H56" s="250"/>
      <c r="I56" s="255">
        <v>0</v>
      </c>
      <c r="J56" s="282">
        <f>ROUND((J55*I56),2)</f>
        <v>0</v>
      </c>
    </row>
    <row r="57" spans="1:10" ht="13.5" thickBot="1" x14ac:dyDescent="0.25">
      <c r="A57" s="265"/>
      <c r="B57" s="1093" t="s">
        <v>237</v>
      </c>
      <c r="C57" s="1094"/>
      <c r="D57" s="1094"/>
      <c r="E57" s="1094"/>
      <c r="F57" s="1095"/>
      <c r="G57" s="283"/>
      <c r="H57" s="266"/>
      <c r="I57" s="266"/>
      <c r="J57" s="268">
        <f>J55+J56</f>
        <v>0.66</v>
      </c>
    </row>
    <row r="58" spans="1:10" x14ac:dyDescent="0.2">
      <c r="A58" s="256"/>
      <c r="B58" s="257"/>
      <c r="C58" s="257"/>
      <c r="D58" s="257"/>
      <c r="E58" s="257"/>
      <c r="F58" s="257"/>
      <c r="G58" s="256"/>
      <c r="H58" s="257"/>
      <c r="I58" s="257"/>
      <c r="J58" s="257"/>
    </row>
    <row r="59" spans="1:10" x14ac:dyDescent="0.2">
      <c r="A59" s="256"/>
      <c r="B59" s="257"/>
      <c r="C59" s="257"/>
      <c r="D59" s="257"/>
      <c r="E59" s="257"/>
      <c r="F59" s="257"/>
      <c r="G59" s="256"/>
      <c r="H59" s="257"/>
      <c r="I59" s="257"/>
      <c r="J59" s="257"/>
    </row>
    <row r="60" spans="1:10" x14ac:dyDescent="0.2">
      <c r="A60" s="256"/>
      <c r="B60" s="257"/>
      <c r="C60" s="257"/>
      <c r="D60" s="257"/>
      <c r="E60" s="257"/>
      <c r="F60" s="257"/>
      <c r="G60" s="256"/>
      <c r="H60" s="257"/>
      <c r="I60" s="257"/>
      <c r="J60" s="257"/>
    </row>
    <row r="61" spans="1:10" x14ac:dyDescent="0.2">
      <c r="A61" s="256"/>
      <c r="B61" s="257"/>
      <c r="C61" s="257"/>
      <c r="D61" s="257"/>
      <c r="E61" s="257"/>
      <c r="F61" s="257"/>
      <c r="G61" s="256"/>
      <c r="H61" s="257"/>
      <c r="I61" s="257"/>
      <c r="J61" s="257"/>
    </row>
    <row r="62" spans="1:10" x14ac:dyDescent="0.2">
      <c r="A62" s="256"/>
      <c r="B62" s="257"/>
      <c r="C62" s="257"/>
      <c r="D62" s="257"/>
      <c r="E62" s="257"/>
      <c r="F62" s="257"/>
      <c r="G62" s="256"/>
      <c r="H62" s="257"/>
      <c r="I62" s="257"/>
      <c r="J62" s="257"/>
    </row>
    <row r="63" spans="1:10" x14ac:dyDescent="0.2">
      <c r="A63" s="256"/>
      <c r="B63" s="257"/>
      <c r="C63" s="257"/>
      <c r="D63" s="257"/>
      <c r="E63" s="257"/>
      <c r="F63" s="257"/>
      <c r="G63" s="256"/>
      <c r="H63" s="257"/>
      <c r="I63" s="257"/>
      <c r="J63" s="257"/>
    </row>
    <row r="64" spans="1:10" x14ac:dyDescent="0.2">
      <c r="A64" s="256"/>
      <c r="B64" s="257"/>
      <c r="C64" s="257"/>
      <c r="D64" s="257"/>
      <c r="E64" s="257"/>
      <c r="F64" s="257"/>
      <c r="G64" s="256"/>
      <c r="H64" s="257"/>
      <c r="I64" s="257"/>
      <c r="J64" s="257"/>
    </row>
    <row r="65" spans="1:10" x14ac:dyDescent="0.2">
      <c r="A65" s="256"/>
      <c r="B65" s="256"/>
      <c r="C65" s="256"/>
      <c r="D65" s="256"/>
      <c r="E65" s="256"/>
      <c r="F65" s="256"/>
      <c r="G65" s="256"/>
      <c r="H65" s="257"/>
      <c r="I65" s="257"/>
      <c r="J65" s="257"/>
    </row>
    <row r="66" spans="1:10" x14ac:dyDescent="0.2">
      <c r="A66" s="256"/>
      <c r="B66" s="258" t="str">
        <f>Terrap.!B16</f>
        <v xml:space="preserve">  </v>
      </c>
      <c r="C66" s="258"/>
      <c r="D66" s="258"/>
      <c r="E66" s="258"/>
      <c r="F66" s="258"/>
      <c r="G66" s="256"/>
      <c r="H66" s="257"/>
      <c r="I66" s="257"/>
      <c r="J66" s="257"/>
    </row>
    <row r="67" spans="1:10" x14ac:dyDescent="0.2">
      <c r="A67" s="256"/>
      <c r="B67" s="256" t="str">
        <f>Terrap.!B17</f>
        <v xml:space="preserve">   </v>
      </c>
      <c r="C67" s="256"/>
      <c r="D67" s="256"/>
      <c r="E67" s="256"/>
      <c r="F67" s="256"/>
      <c r="G67" s="256"/>
      <c r="H67" s="257"/>
      <c r="I67" s="257"/>
      <c r="J67" s="257"/>
    </row>
  </sheetData>
  <mergeCells count="53">
    <mergeCell ref="A1:J1"/>
    <mergeCell ref="A2:J2"/>
    <mergeCell ref="B4:J4"/>
    <mergeCell ref="B5:J5"/>
    <mergeCell ref="B6:H6"/>
    <mergeCell ref="I6:J7"/>
    <mergeCell ref="F7:G7"/>
    <mergeCell ref="B26:F26"/>
    <mergeCell ref="B18:F18"/>
    <mergeCell ref="B12:F12"/>
    <mergeCell ref="B22:F22"/>
    <mergeCell ref="B19:F19"/>
    <mergeCell ref="B21:F21"/>
    <mergeCell ref="B13:F13"/>
    <mergeCell ref="B14:F14"/>
    <mergeCell ref="B15:F15"/>
    <mergeCell ref="B16:F16"/>
    <mergeCell ref="B17:F17"/>
    <mergeCell ref="A8:J8"/>
    <mergeCell ref="A10:J10"/>
    <mergeCell ref="B28:F28"/>
    <mergeCell ref="A35:J35"/>
    <mergeCell ref="B37:F37"/>
    <mergeCell ref="B11:J11"/>
    <mergeCell ref="B36:J36"/>
    <mergeCell ref="B27:F27"/>
    <mergeCell ref="B30:F30"/>
    <mergeCell ref="B31:F31"/>
    <mergeCell ref="B32:F32"/>
    <mergeCell ref="B33:F33"/>
    <mergeCell ref="B23:F23"/>
    <mergeCell ref="A20:J20"/>
    <mergeCell ref="A24:J24"/>
    <mergeCell ref="B25:F25"/>
    <mergeCell ref="B43:F43"/>
    <mergeCell ref="A44:J44"/>
    <mergeCell ref="B45:F45"/>
    <mergeCell ref="B46:F46"/>
    <mergeCell ref="B38:F38"/>
    <mergeCell ref="B39:F39"/>
    <mergeCell ref="B40:F40"/>
    <mergeCell ref="B41:F41"/>
    <mergeCell ref="B42:F42"/>
    <mergeCell ref="B47:F47"/>
    <mergeCell ref="A48:J48"/>
    <mergeCell ref="B49:F49"/>
    <mergeCell ref="B50:F50"/>
    <mergeCell ref="B51:F51"/>
    <mergeCell ref="B52:F52"/>
    <mergeCell ref="B54:F54"/>
    <mergeCell ref="B55:F55"/>
    <mergeCell ref="B56:F56"/>
    <mergeCell ref="B57:F57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view="pageBreakPreview" topLeftCell="C10" zoomScale="115" zoomScaleNormal="85" zoomScaleSheetLayoutView="115" workbookViewId="0">
      <selection activeCell="G52" sqref="G52"/>
    </sheetView>
  </sheetViews>
  <sheetFormatPr defaultRowHeight="12.75" x14ac:dyDescent="0.2"/>
  <cols>
    <col min="1" max="1" width="10.7109375" style="1" customWidth="1"/>
    <col min="2" max="2" width="66.7109375" style="1" customWidth="1"/>
    <col min="3" max="3" width="15.140625" style="1" bestFit="1" customWidth="1"/>
    <col min="4" max="4" width="30.7109375" style="22" customWidth="1"/>
    <col min="5" max="5" width="14.140625" style="310" customWidth="1"/>
    <col min="6" max="6" width="9.140625" style="1"/>
    <col min="7" max="7" width="20.42578125" style="1" bestFit="1" customWidth="1"/>
    <col min="8" max="8" width="9.28515625" style="1" bestFit="1" customWidth="1"/>
    <col min="9" max="9" width="13.5703125" style="1" customWidth="1"/>
    <col min="10" max="10" width="15.140625" style="1" bestFit="1" customWidth="1"/>
    <col min="11" max="11" width="10.5703125" style="1" bestFit="1" customWidth="1"/>
    <col min="12" max="16384" width="9.140625" style="1"/>
  </cols>
  <sheetData>
    <row r="1" spans="1:16" s="11" customFormat="1" ht="48" customHeight="1" x14ac:dyDescent="0.2">
      <c r="A1" s="1127"/>
      <c r="B1" s="1128"/>
      <c r="C1" s="1131" t="str">
        <f>Terrap.!C1</f>
        <v>ESTADO DE MATO GROSSO</v>
      </c>
      <c r="D1" s="1131"/>
      <c r="E1" s="1132"/>
      <c r="F1" s="33"/>
      <c r="G1" s="33"/>
      <c r="H1" s="33"/>
      <c r="I1" s="33"/>
      <c r="J1" s="33"/>
      <c r="K1" s="33"/>
    </row>
    <row r="2" spans="1:16" s="11" customFormat="1" ht="48" customHeight="1" x14ac:dyDescent="0.2">
      <c r="A2" s="1129"/>
      <c r="B2" s="1130"/>
      <c r="C2" s="1133" t="str">
        <f>Terrap.!C2</f>
        <v>PREFEITURA MUNICIPAL DE JACIARA</v>
      </c>
      <c r="D2" s="1133"/>
      <c r="E2" s="1134"/>
      <c r="F2" s="33"/>
      <c r="G2" s="33"/>
      <c r="H2" s="33"/>
      <c r="I2" s="33"/>
      <c r="J2" s="33"/>
      <c r="K2" s="33"/>
      <c r="L2" s="17"/>
      <c r="M2" s="17"/>
      <c r="N2" s="17"/>
      <c r="O2" s="17"/>
    </row>
    <row r="3" spans="1:16" s="11" customFormat="1" ht="20.25" customHeight="1" x14ac:dyDescent="0.2">
      <c r="A3" s="486" t="s">
        <v>8</v>
      </c>
      <c r="B3" s="484" t="str">
        <f>Terrap.!B3</f>
        <v>PAVIMENTAÇÃO ASFALTICA EM TSD</v>
      </c>
      <c r="C3" s="484"/>
      <c r="D3" s="559" t="str">
        <f>Terrap.!H6</f>
        <v>TABELA:</v>
      </c>
      <c r="E3" s="314" t="str">
        <f>Terrap.!E6</f>
        <v>BDI:</v>
      </c>
      <c r="F3" s="9"/>
      <c r="G3" s="9"/>
      <c r="H3" s="9"/>
      <c r="I3" s="9"/>
      <c r="J3" s="9"/>
      <c r="K3" s="30"/>
    </row>
    <row r="4" spans="1:16" s="11" customFormat="1" ht="20.25" customHeight="1" x14ac:dyDescent="0.2">
      <c r="A4" s="486" t="s">
        <v>22</v>
      </c>
      <c r="B4" s="484" t="str">
        <f>Terrap.!B4</f>
        <v>DIVERSAS RUAS - DISTRITO DE CELMA</v>
      </c>
      <c r="C4" s="559" t="s">
        <v>455</v>
      </c>
      <c r="D4" s="880" t="str">
        <f>Terrap.!I4</f>
        <v>SINAPI - JANEIRO / 2019                                                                             ANP 12/2018 (com desoneração)</v>
      </c>
      <c r="E4" s="1141">
        <f>Terrap.!F6</f>
        <v>0.26019999999999999</v>
      </c>
      <c r="F4" s="9"/>
      <c r="G4" s="1139"/>
      <c r="H4" s="1139"/>
      <c r="I4" s="1140"/>
      <c r="J4" s="1140"/>
      <c r="K4" s="31"/>
      <c r="M4" s="1135"/>
      <c r="N4" s="1135"/>
      <c r="O4" s="1135"/>
      <c r="P4" s="1135"/>
    </row>
    <row r="5" spans="1:16" s="11" customFormat="1" ht="20.25" customHeight="1" x14ac:dyDescent="0.2">
      <c r="A5" s="487" t="s">
        <v>59</v>
      </c>
      <c r="B5" s="484" t="str">
        <f>Terrap.!B5</f>
        <v>PREFEITURA MUNICIPAL DE JACIARA</v>
      </c>
      <c r="C5" s="1143" t="str">
        <f>Terrap.!F5</f>
        <v>FEVEREIRO 2019</v>
      </c>
      <c r="D5" s="880"/>
      <c r="E5" s="1141"/>
      <c r="F5" s="9"/>
      <c r="G5" s="1139"/>
      <c r="H5" s="1139"/>
      <c r="I5" s="1140"/>
      <c r="J5" s="1140"/>
      <c r="K5" s="31"/>
      <c r="M5" s="1135"/>
      <c r="N5" s="1135"/>
      <c r="O5" s="1135"/>
      <c r="P5" s="1135"/>
    </row>
    <row r="6" spans="1:16" s="11" customFormat="1" ht="20.25" customHeight="1" thickBot="1" x14ac:dyDescent="0.25">
      <c r="A6" s="488" t="s">
        <v>43</v>
      </c>
      <c r="B6" s="485">
        <f>Terrap.!C14</f>
        <v>4044.58</v>
      </c>
      <c r="C6" s="1144"/>
      <c r="D6" s="882"/>
      <c r="E6" s="1142"/>
      <c r="F6" s="9"/>
      <c r="G6" s="9"/>
      <c r="H6" s="9"/>
      <c r="I6" s="21"/>
      <c r="J6" s="21"/>
      <c r="K6" s="30"/>
      <c r="M6" s="1135"/>
      <c r="N6" s="1135"/>
      <c r="O6" s="1135"/>
      <c r="P6" s="1135"/>
    </row>
    <row r="7" spans="1:16" s="11" customFormat="1" ht="27.75" thickBot="1" x14ac:dyDescent="0.25">
      <c r="A7" s="1136" t="s">
        <v>77</v>
      </c>
      <c r="B7" s="1137"/>
      <c r="C7" s="1137"/>
      <c r="D7" s="1137"/>
      <c r="E7" s="1138"/>
      <c r="F7" s="303"/>
      <c r="G7" s="303"/>
      <c r="H7" s="303"/>
      <c r="I7" s="303"/>
      <c r="J7" s="303"/>
      <c r="K7" s="303"/>
    </row>
    <row r="8" spans="1:16" s="11" customFormat="1" ht="27" x14ac:dyDescent="0.2">
      <c r="A8" s="674" t="s">
        <v>0</v>
      </c>
      <c r="B8" s="675" t="s">
        <v>301</v>
      </c>
      <c r="C8" s="676" t="s">
        <v>302</v>
      </c>
      <c r="D8" s="676" t="s">
        <v>303</v>
      </c>
      <c r="E8" s="677" t="s">
        <v>276</v>
      </c>
      <c r="F8" s="303"/>
      <c r="G8" s="303"/>
      <c r="H8" s="303"/>
      <c r="I8" s="303"/>
      <c r="J8" s="303"/>
      <c r="K8" s="303"/>
    </row>
    <row r="9" spans="1:16" s="11" customFormat="1" ht="20.25" customHeight="1" x14ac:dyDescent="0.2">
      <c r="A9" s="579">
        <f>Orçam.!A9</f>
        <v>1</v>
      </c>
      <c r="B9" s="595" t="s">
        <v>106</v>
      </c>
      <c r="C9" s="613"/>
      <c r="D9" s="613"/>
      <c r="E9" s="678"/>
      <c r="F9" s="303"/>
      <c r="G9" s="303"/>
      <c r="H9" s="303"/>
      <c r="I9" s="303"/>
      <c r="J9" s="303"/>
      <c r="K9" s="303"/>
    </row>
    <row r="10" spans="1:16" s="11" customFormat="1" ht="45" x14ac:dyDescent="0.2">
      <c r="A10" s="458" t="str">
        <f>Orçam.!A10</f>
        <v>1.1</v>
      </c>
      <c r="B10" s="588" t="str">
        <f>Orçam.!D10</f>
        <v>EXECUÇÃO DE DEPÓSITO EM CANTEIRO DE OBRA EM CHAPA DE MADEIRA COMPENSADA, NÃO INCLUSO MOBILIÁRIO. AF_04/2016</v>
      </c>
      <c r="C10" s="559" t="str">
        <f>Orçam.!E10</f>
        <v>m²</v>
      </c>
      <c r="D10" s="559" t="s">
        <v>509</v>
      </c>
      <c r="E10" s="679">
        <v>9</v>
      </c>
      <c r="F10" s="303"/>
      <c r="G10" s="303"/>
      <c r="H10" s="303"/>
      <c r="I10" s="303"/>
      <c r="J10" s="303"/>
      <c r="K10" s="303"/>
    </row>
    <row r="11" spans="1:16" s="11" customFormat="1" ht="20.25" customHeight="1" x14ac:dyDescent="0.2">
      <c r="A11" s="458" t="str">
        <f>Orçam.!A11</f>
        <v>1.2</v>
      </c>
      <c r="B11" s="588" t="str">
        <f>Orçam.!D11</f>
        <v>PLACA DE OBRA EM CHAPA DE ACO GALVANIZADO</v>
      </c>
      <c r="C11" s="559" t="str">
        <f>Orçam.!E11</f>
        <v>m²</v>
      </c>
      <c r="D11" s="680" t="s">
        <v>532</v>
      </c>
      <c r="E11" s="679">
        <f>1.25*2.5</f>
        <v>3.13</v>
      </c>
      <c r="F11" s="303"/>
      <c r="G11" s="303"/>
      <c r="H11" s="303"/>
      <c r="I11" s="303"/>
      <c r="J11" s="303"/>
      <c r="K11" s="303"/>
    </row>
    <row r="12" spans="1:16" s="11" customFormat="1" ht="27" x14ac:dyDescent="0.2">
      <c r="A12" s="579">
        <f>Orçam.!A13</f>
        <v>2</v>
      </c>
      <c r="B12" s="595" t="str">
        <f>Orçam.!D13</f>
        <v>ADMINISTRAÇÃO LOCAL</v>
      </c>
      <c r="C12" s="613"/>
      <c r="D12" s="613"/>
      <c r="E12" s="678"/>
      <c r="F12" s="303"/>
      <c r="G12" s="303"/>
      <c r="H12" s="303"/>
      <c r="I12" s="303"/>
      <c r="J12" s="303"/>
      <c r="K12" s="303"/>
    </row>
    <row r="13" spans="1:16" s="11" customFormat="1" ht="27" x14ac:dyDescent="0.2">
      <c r="A13" s="458" t="str">
        <f>Orçam.!A14</f>
        <v>2.1</v>
      </c>
      <c r="B13" s="682" t="str">
        <f>Orçam.!D14</f>
        <v>ADMINISTRAÇÃO LOCAL DE OBRA</v>
      </c>
      <c r="C13" s="559" t="str">
        <f>Orçam.!E14</f>
        <v>UND</v>
      </c>
      <c r="D13" s="559" t="s">
        <v>277</v>
      </c>
      <c r="E13" s="679">
        <v>40</v>
      </c>
      <c r="F13" s="303"/>
      <c r="G13" s="679" t="str">
        <f>'Crono Basico'!O9</f>
        <v>180 DIAS</v>
      </c>
      <c r="H13" s="303"/>
      <c r="I13" s="303"/>
      <c r="J13" s="303"/>
      <c r="K13" s="303"/>
    </row>
    <row r="14" spans="1:16" s="11" customFormat="1" ht="27" hidden="1" x14ac:dyDescent="0.2">
      <c r="A14" s="458" t="e">
        <f>Orçam.!#REF!</f>
        <v>#REF!</v>
      </c>
      <c r="B14" s="682" t="e">
        <f>Orçam.!#REF!</f>
        <v>#REF!</v>
      </c>
      <c r="C14" s="559" t="e">
        <f>Orçam.!#REF!</f>
        <v>#REF!</v>
      </c>
      <c r="D14" s="559" t="s">
        <v>277</v>
      </c>
      <c r="E14" s="679">
        <v>80</v>
      </c>
      <c r="F14" s="303"/>
      <c r="G14" s="786">
        <f>Resumo!F12</f>
        <v>4.19E-2</v>
      </c>
      <c r="H14" s="303"/>
      <c r="I14" s="303"/>
      <c r="J14" s="303"/>
      <c r="K14" s="303"/>
    </row>
    <row r="15" spans="1:16" s="11" customFormat="1" ht="27" hidden="1" x14ac:dyDescent="0.2">
      <c r="A15" s="458" t="e">
        <f>Orçam.!#REF!</f>
        <v>#REF!</v>
      </c>
      <c r="B15" s="682" t="e">
        <f>Orçam.!#REF!</f>
        <v>#REF!</v>
      </c>
      <c r="C15" s="559" t="e">
        <f>Orçam.!#REF!</f>
        <v>#REF!</v>
      </c>
      <c r="D15" s="559" t="s">
        <v>277</v>
      </c>
      <c r="E15" s="679">
        <v>120</v>
      </c>
      <c r="F15" s="303"/>
      <c r="G15" s="303"/>
      <c r="H15" s="303"/>
      <c r="I15" s="303"/>
      <c r="J15" s="303"/>
      <c r="K15" s="303"/>
    </row>
    <row r="16" spans="1:16" s="11" customFormat="1" ht="27" hidden="1" x14ac:dyDescent="0.2">
      <c r="A16" s="458" t="e">
        <f>Orçam.!#REF!</f>
        <v>#REF!</v>
      </c>
      <c r="B16" s="682" t="e">
        <f>Orçam.!#REF!</f>
        <v>#REF!</v>
      </c>
      <c r="C16" s="559" t="e">
        <f>Orçam.!#REF!</f>
        <v>#REF!</v>
      </c>
      <c r="D16" s="559" t="s">
        <v>265</v>
      </c>
      <c r="E16" s="681">
        <f>E58</f>
        <v>1587.82</v>
      </c>
      <c r="F16" s="303"/>
      <c r="G16" s="303"/>
      <c r="H16" s="303"/>
      <c r="I16" s="303"/>
      <c r="J16" s="303"/>
      <c r="K16" s="303"/>
    </row>
    <row r="17" spans="1:11" s="11" customFormat="1" ht="27" hidden="1" x14ac:dyDescent="0.2">
      <c r="A17" s="458" t="e">
        <f>Orçam.!#REF!</f>
        <v>#REF!</v>
      </c>
      <c r="B17" s="682" t="e">
        <f>Orçam.!#REF!</f>
        <v>#REF!</v>
      </c>
      <c r="C17" s="559" t="e">
        <f>Orçam.!#REF!</f>
        <v>#REF!</v>
      </c>
      <c r="D17" s="559" t="s">
        <v>285</v>
      </c>
      <c r="E17" s="679">
        <v>3</v>
      </c>
      <c r="F17" s="387">
        <f>Terrap.!C13/200</f>
        <v>2.4422999999999999</v>
      </c>
      <c r="G17" s="303"/>
      <c r="H17" s="303"/>
      <c r="I17" s="303"/>
      <c r="J17" s="303"/>
      <c r="K17" s="303"/>
    </row>
    <row r="18" spans="1:11" s="11" customFormat="1" ht="27" hidden="1" x14ac:dyDescent="0.2">
      <c r="A18" s="458" t="e">
        <f>Orçam.!#REF!</f>
        <v>#REF!</v>
      </c>
      <c r="B18" s="682" t="e">
        <f>Orçam.!#REF!</f>
        <v>#REF!</v>
      </c>
      <c r="C18" s="559" t="e">
        <f>Orçam.!#REF!</f>
        <v>#REF!</v>
      </c>
      <c r="D18" s="559" t="s">
        <v>285</v>
      </c>
      <c r="E18" s="679">
        <v>3</v>
      </c>
      <c r="F18" s="303"/>
      <c r="G18" s="303"/>
      <c r="H18" s="303"/>
      <c r="I18" s="303"/>
      <c r="J18" s="303"/>
      <c r="K18" s="303"/>
    </row>
    <row r="19" spans="1:11" s="11" customFormat="1" ht="20.25" hidden="1" customHeight="1" x14ac:dyDescent="0.2">
      <c r="A19" s="579" t="e">
        <f>Orçam.!#REF!</f>
        <v>#REF!</v>
      </c>
      <c r="B19" s="595" t="s">
        <v>52</v>
      </c>
      <c r="C19" s="613"/>
      <c r="D19" s="613"/>
      <c r="E19" s="683"/>
      <c r="F19" s="303"/>
      <c r="G19" s="303"/>
      <c r="H19" s="303"/>
      <c r="I19" s="303"/>
      <c r="J19" s="303"/>
      <c r="K19" s="303"/>
    </row>
    <row r="20" spans="1:11" s="11" customFormat="1" ht="15" hidden="1" x14ac:dyDescent="0.2">
      <c r="A20" s="590" t="e">
        <f>Orçam.!#REF!</f>
        <v>#REF!</v>
      </c>
      <c r="B20" s="598" t="s">
        <v>30</v>
      </c>
      <c r="C20" s="599"/>
      <c r="D20" s="599"/>
      <c r="E20" s="684"/>
    </row>
    <row r="21" spans="1:11" s="11" customFormat="1" ht="15" hidden="1" x14ac:dyDescent="0.2">
      <c r="A21" s="585" t="e">
        <f>Orçam.!#REF!</f>
        <v>#REF!</v>
      </c>
      <c r="B21" s="603" t="e">
        <f>Orçam.!#REF!</f>
        <v>#REF!</v>
      </c>
      <c r="C21" s="589" t="e">
        <f>Orçam.!#REF!</f>
        <v>#REF!</v>
      </c>
      <c r="D21" s="685" t="s">
        <v>160</v>
      </c>
      <c r="E21" s="686">
        <f>'Ruas Ben'!C20</f>
        <v>0</v>
      </c>
    </row>
    <row r="22" spans="1:11" s="11" customFormat="1" ht="15" hidden="1" x14ac:dyDescent="0.2">
      <c r="A22" s="590" t="e">
        <f>Orçam.!#REF!</f>
        <v>#REF!</v>
      </c>
      <c r="B22" s="605" t="s">
        <v>139</v>
      </c>
      <c r="C22" s="599"/>
      <c r="D22" s="687"/>
      <c r="E22" s="688"/>
    </row>
    <row r="23" spans="1:11" s="11" customFormat="1" ht="15" hidden="1" x14ac:dyDescent="0.2">
      <c r="A23" s="585" t="e">
        <f>Orçam.!#REF!</f>
        <v>#REF!</v>
      </c>
      <c r="B23" s="611" t="e">
        <f>Orçam.!#REF!</f>
        <v>#REF!</v>
      </c>
      <c r="C23" s="589" t="e">
        <f>Orçam.!#REF!</f>
        <v>#REF!</v>
      </c>
      <c r="D23" s="685" t="s">
        <v>157</v>
      </c>
      <c r="E23" s="686">
        <f>'M. Calc Dre'!L14</f>
        <v>0</v>
      </c>
      <c r="F23" s="304"/>
    </row>
    <row r="24" spans="1:11" s="11" customFormat="1" ht="15" hidden="1" x14ac:dyDescent="0.2">
      <c r="A24" s="585" t="e">
        <f>Orçam.!#REF!</f>
        <v>#REF!</v>
      </c>
      <c r="B24" s="611" t="e">
        <f>Orçam.!#REF!</f>
        <v>#REF!</v>
      </c>
      <c r="C24" s="589" t="e">
        <f>Orçam.!#REF!</f>
        <v>#REF!</v>
      </c>
      <c r="D24" s="685" t="s">
        <v>157</v>
      </c>
      <c r="E24" s="686">
        <f>'M. Calc Dre'!K12</f>
        <v>0</v>
      </c>
      <c r="F24" s="304"/>
    </row>
    <row r="25" spans="1:11" s="11" customFormat="1" ht="15" hidden="1" x14ac:dyDescent="0.2">
      <c r="A25" s="585" t="e">
        <f>Orçam.!#REF!</f>
        <v>#REF!</v>
      </c>
      <c r="B25" s="611" t="e">
        <f>Orçam.!#REF!</f>
        <v>#REF!</v>
      </c>
      <c r="C25" s="589" t="e">
        <f>Orçam.!#REF!</f>
        <v>#REF!</v>
      </c>
      <c r="D25" s="685" t="s">
        <v>157</v>
      </c>
      <c r="E25" s="686">
        <f>'M. Calc Dre'!L23</f>
        <v>0</v>
      </c>
      <c r="F25" s="304"/>
    </row>
    <row r="26" spans="1:11" s="11" customFormat="1" ht="15" hidden="1" x14ac:dyDescent="0.2">
      <c r="A26" s="585" t="e">
        <f>Orçam.!#REF!</f>
        <v>#REF!</v>
      </c>
      <c r="B26" s="611" t="e">
        <f>Orçam.!#REF!</f>
        <v>#REF!</v>
      </c>
      <c r="C26" s="589" t="e">
        <f>Orçam.!#REF!</f>
        <v>#REF!</v>
      </c>
      <c r="D26" s="685" t="s">
        <v>157</v>
      </c>
      <c r="E26" s="686">
        <f>'M. Calc Dre'!K30</f>
        <v>0</v>
      </c>
      <c r="F26" s="304"/>
    </row>
    <row r="27" spans="1:11" s="11" customFormat="1" ht="15" hidden="1" x14ac:dyDescent="0.2">
      <c r="A27" s="585" t="e">
        <f>Orçam.!#REF!</f>
        <v>#REF!</v>
      </c>
      <c r="B27" s="611" t="e">
        <f>Orçam.!#REF!</f>
        <v>#REF!</v>
      </c>
      <c r="C27" s="589" t="e">
        <f>Orçam.!#REF!</f>
        <v>#REF!</v>
      </c>
      <c r="D27" s="685" t="s">
        <v>157</v>
      </c>
      <c r="E27" s="686">
        <f>'M. Calc Dre'!K42</f>
        <v>0</v>
      </c>
      <c r="F27" s="304"/>
    </row>
    <row r="28" spans="1:11" s="11" customFormat="1" ht="15" hidden="1" x14ac:dyDescent="0.2">
      <c r="A28" s="590" t="e">
        <f>Orçam.!#REF!</f>
        <v>#REF!</v>
      </c>
      <c r="B28" s="612" t="s">
        <v>140</v>
      </c>
      <c r="C28" s="599"/>
      <c r="D28" s="687"/>
      <c r="E28" s="688"/>
      <c r="F28" s="304"/>
    </row>
    <row r="29" spans="1:11" s="11" customFormat="1" ht="15" hidden="1" x14ac:dyDescent="0.2">
      <c r="A29" s="585" t="e">
        <f>Orçam.!#REF!</f>
        <v>#REF!</v>
      </c>
      <c r="B29" s="611" t="e">
        <f>Orçam.!#REF!</f>
        <v>#REF!</v>
      </c>
      <c r="C29" s="589" t="e">
        <f>Orçam.!#REF!</f>
        <v>#REF!</v>
      </c>
      <c r="D29" s="685" t="s">
        <v>157</v>
      </c>
      <c r="E29" s="686">
        <f>'Ruas Ben'!C19</f>
        <v>0</v>
      </c>
      <c r="F29" s="304"/>
    </row>
    <row r="30" spans="1:11" s="11" customFormat="1" ht="15" hidden="1" x14ac:dyDescent="0.2">
      <c r="A30" s="585" t="e">
        <f>Orçam.!#REF!</f>
        <v>#REF!</v>
      </c>
      <c r="B30" s="611" t="e">
        <f>Orçam.!#REF!</f>
        <v>#REF!</v>
      </c>
      <c r="C30" s="589" t="e">
        <f>Orçam.!#REF!</f>
        <v>#REF!</v>
      </c>
      <c r="D30" s="685" t="s">
        <v>157</v>
      </c>
      <c r="E30" s="686">
        <f>'Ruas Ben'!D19</f>
        <v>0</v>
      </c>
      <c r="F30" s="304"/>
    </row>
    <row r="31" spans="1:11" s="11" customFormat="1" ht="15" hidden="1" x14ac:dyDescent="0.2">
      <c r="A31" s="585" t="e">
        <f>Orçam.!#REF!</f>
        <v>#REF!</v>
      </c>
      <c r="B31" s="611" t="e">
        <f>Orçam.!#REF!</f>
        <v>#REF!</v>
      </c>
      <c r="C31" s="589" t="e">
        <f>Orçam.!#REF!</f>
        <v>#REF!</v>
      </c>
      <c r="D31" s="685" t="s">
        <v>157</v>
      </c>
      <c r="E31" s="686">
        <f>'Ruas Ben'!E19</f>
        <v>0</v>
      </c>
      <c r="F31" s="304"/>
    </row>
    <row r="32" spans="1:11" s="11" customFormat="1" ht="15" hidden="1" x14ac:dyDescent="0.2">
      <c r="A32" s="585" t="e">
        <f>Orçam.!#REF!</f>
        <v>#REF!</v>
      </c>
      <c r="B32" s="611" t="e">
        <f>Orçam.!#REF!</f>
        <v>#REF!</v>
      </c>
      <c r="C32" s="589" t="e">
        <f>Orçam.!#REF!</f>
        <v>#REF!</v>
      </c>
      <c r="D32" s="685" t="s">
        <v>157</v>
      </c>
      <c r="E32" s="686">
        <f>'Ruas Ben'!F19</f>
        <v>0</v>
      </c>
      <c r="F32" s="304"/>
    </row>
    <row r="33" spans="1:6" s="11" customFormat="1" ht="15" hidden="1" x14ac:dyDescent="0.2">
      <c r="A33" s="585" t="e">
        <f>Orçam.!#REF!</f>
        <v>#REF!</v>
      </c>
      <c r="B33" s="611" t="e">
        <f>Orçam.!#REF!</f>
        <v>#REF!</v>
      </c>
      <c r="C33" s="589" t="e">
        <f>Orçam.!#REF!</f>
        <v>#REF!</v>
      </c>
      <c r="D33" s="685" t="s">
        <v>157</v>
      </c>
      <c r="E33" s="686">
        <f>'Ruas Ben'!G19</f>
        <v>0</v>
      </c>
      <c r="F33" s="304"/>
    </row>
    <row r="34" spans="1:6" s="11" customFormat="1" ht="15" hidden="1" x14ac:dyDescent="0.2">
      <c r="A34" s="585" t="e">
        <f>Orçam.!#REF!</f>
        <v>#REF!</v>
      </c>
      <c r="B34" s="611" t="e">
        <f>Orçam.!#REF!</f>
        <v>#REF!</v>
      </c>
      <c r="C34" s="589" t="e">
        <f>Orçam.!#REF!</f>
        <v>#REF!</v>
      </c>
      <c r="D34" s="685" t="s">
        <v>157</v>
      </c>
      <c r="E34" s="686">
        <f>E29</f>
        <v>0</v>
      </c>
      <c r="F34" s="304"/>
    </row>
    <row r="35" spans="1:6" s="11" customFormat="1" ht="15" hidden="1" x14ac:dyDescent="0.2">
      <c r="A35" s="585" t="e">
        <f>Orçam.!#REF!</f>
        <v>#REF!</v>
      </c>
      <c r="B35" s="611" t="e">
        <f>Orçam.!#REF!</f>
        <v>#REF!</v>
      </c>
      <c r="C35" s="589" t="e">
        <f>Orçam.!#REF!</f>
        <v>#REF!</v>
      </c>
      <c r="D35" s="685" t="s">
        <v>157</v>
      </c>
      <c r="E35" s="686">
        <f t="shared" ref="E35:E38" si="0">E30</f>
        <v>0</v>
      </c>
      <c r="F35" s="304"/>
    </row>
    <row r="36" spans="1:6" s="11" customFormat="1" ht="15" hidden="1" x14ac:dyDescent="0.2">
      <c r="A36" s="585" t="e">
        <f>Orçam.!#REF!</f>
        <v>#REF!</v>
      </c>
      <c r="B36" s="611" t="e">
        <f>Orçam.!#REF!</f>
        <v>#REF!</v>
      </c>
      <c r="C36" s="589" t="e">
        <f>Orçam.!#REF!</f>
        <v>#REF!</v>
      </c>
      <c r="D36" s="685" t="s">
        <v>157</v>
      </c>
      <c r="E36" s="686">
        <f t="shared" si="0"/>
        <v>0</v>
      </c>
      <c r="F36" s="304"/>
    </row>
    <row r="37" spans="1:6" s="11" customFormat="1" ht="15" hidden="1" x14ac:dyDescent="0.2">
      <c r="A37" s="585" t="e">
        <f>Orçam.!#REF!</f>
        <v>#REF!</v>
      </c>
      <c r="B37" s="611" t="e">
        <f>Orçam.!#REF!</f>
        <v>#REF!</v>
      </c>
      <c r="C37" s="589" t="e">
        <f>Orçam.!#REF!</f>
        <v>#REF!</v>
      </c>
      <c r="D37" s="685" t="s">
        <v>157</v>
      </c>
      <c r="E37" s="686">
        <f t="shared" si="0"/>
        <v>0</v>
      </c>
      <c r="F37" s="304"/>
    </row>
    <row r="38" spans="1:6" s="11" customFormat="1" ht="15" hidden="1" x14ac:dyDescent="0.2">
      <c r="A38" s="585" t="e">
        <f>Orçam.!#REF!</f>
        <v>#REF!</v>
      </c>
      <c r="B38" s="611" t="e">
        <f>Orçam.!#REF!</f>
        <v>#REF!</v>
      </c>
      <c r="C38" s="589" t="e">
        <f>Orçam.!#REF!</f>
        <v>#REF!</v>
      </c>
      <c r="D38" s="685" t="s">
        <v>157</v>
      </c>
      <c r="E38" s="686">
        <f t="shared" si="0"/>
        <v>0</v>
      </c>
      <c r="F38" s="304"/>
    </row>
    <row r="39" spans="1:6" s="11" customFormat="1" ht="15" hidden="1" x14ac:dyDescent="0.2">
      <c r="A39" s="590" t="e">
        <f>Orçam.!#REF!</f>
        <v>#REF!</v>
      </c>
      <c r="B39" s="612" t="s">
        <v>53</v>
      </c>
      <c r="C39" s="599"/>
      <c r="D39" s="687"/>
      <c r="E39" s="688"/>
    </row>
    <row r="40" spans="1:6" s="11" customFormat="1" ht="15" hidden="1" x14ac:dyDescent="0.2">
      <c r="A40" s="585" t="e">
        <f>Orçam.!#REF!</f>
        <v>#REF!</v>
      </c>
      <c r="B40" s="611" t="e">
        <f>Orçam.!#REF!</f>
        <v>#REF!</v>
      </c>
      <c r="C40" s="589" t="e">
        <f>Orçam.!#REF!</f>
        <v>#REF!</v>
      </c>
      <c r="D40" s="685" t="s">
        <v>157</v>
      </c>
      <c r="E40" s="686">
        <f>'Ruas Ben'!K19</f>
        <v>0</v>
      </c>
    </row>
    <row r="41" spans="1:6" s="11" customFormat="1" ht="15" hidden="1" x14ac:dyDescent="0.2">
      <c r="A41" s="585" t="e">
        <f>Orçam.!#REF!</f>
        <v>#REF!</v>
      </c>
      <c r="B41" s="611" t="e">
        <f>Orçam.!#REF!</f>
        <v>#REF!</v>
      </c>
      <c r="C41" s="589" t="e">
        <f>Orçam.!#REF!</f>
        <v>#REF!</v>
      </c>
      <c r="D41" s="685" t="s">
        <v>157</v>
      </c>
      <c r="E41" s="686">
        <f>'Ruas Ben'!L19</f>
        <v>0</v>
      </c>
    </row>
    <row r="42" spans="1:6" s="11" customFormat="1" ht="15" hidden="1" x14ac:dyDescent="0.2">
      <c r="A42" s="585" t="e">
        <f>Orçam.!#REF!</f>
        <v>#REF!</v>
      </c>
      <c r="B42" s="611" t="e">
        <f>Orçam.!#REF!</f>
        <v>#REF!</v>
      </c>
      <c r="C42" s="589" t="e">
        <f>Orçam.!#REF!</f>
        <v>#REF!</v>
      </c>
      <c r="D42" s="685" t="s">
        <v>165</v>
      </c>
      <c r="E42" s="686">
        <f>'Ruas Ben'!M19</f>
        <v>0</v>
      </c>
    </row>
    <row r="43" spans="1:6" s="11" customFormat="1" ht="15" hidden="1" x14ac:dyDescent="0.2">
      <c r="A43" s="585" t="e">
        <f>Orçam.!#REF!</f>
        <v>#REF!</v>
      </c>
      <c r="B43" s="611" t="e">
        <f>Orçam.!#REF!</f>
        <v>#REF!</v>
      </c>
      <c r="C43" s="589" t="e">
        <f>Orçam.!#REF!</f>
        <v>#REF!</v>
      </c>
      <c r="D43" s="685" t="s">
        <v>165</v>
      </c>
      <c r="E43" s="686">
        <f>'Ruas Ben'!N19</f>
        <v>0</v>
      </c>
    </row>
    <row r="44" spans="1:6" s="11" customFormat="1" ht="23.25" hidden="1" customHeight="1" x14ac:dyDescent="0.2">
      <c r="A44" s="585" t="e">
        <f>Orçam.!#REF!</f>
        <v>#REF!</v>
      </c>
      <c r="B44" s="611" t="e">
        <f>Orçam.!#REF!</f>
        <v>#REF!</v>
      </c>
      <c r="C44" s="589" t="e">
        <f>Orçam.!#REF!</f>
        <v>#REF!</v>
      </c>
      <c r="D44" s="685" t="s">
        <v>165</v>
      </c>
      <c r="E44" s="686">
        <f>SUM(E40:E43)</f>
        <v>0</v>
      </c>
    </row>
    <row r="45" spans="1:6" s="11" customFormat="1" ht="15" hidden="1" x14ac:dyDescent="0.2">
      <c r="A45" s="585" t="e">
        <f>Orçam.!#REF!</f>
        <v>#REF!</v>
      </c>
      <c r="B45" s="611" t="e">
        <f>Orçam.!#REF!</f>
        <v>#REF!</v>
      </c>
      <c r="C45" s="589" t="e">
        <f>Orçam.!#REF!</f>
        <v>#REF!</v>
      </c>
      <c r="D45" s="685" t="s">
        <v>165</v>
      </c>
      <c r="E45" s="686">
        <f>'Ruas Ben'!I19</f>
        <v>0</v>
      </c>
    </row>
    <row r="46" spans="1:6" s="11" customFormat="1" ht="15" hidden="1" x14ac:dyDescent="0.2">
      <c r="A46" s="585" t="e">
        <f>Orçam.!#REF!</f>
        <v>#REF!</v>
      </c>
      <c r="B46" s="611" t="e">
        <f>Orçam.!#REF!</f>
        <v>#REF!</v>
      </c>
      <c r="C46" s="589" t="e">
        <f>Orçam.!#REF!</f>
        <v>#REF!</v>
      </c>
      <c r="D46" s="685" t="s">
        <v>165</v>
      </c>
      <c r="E46" s="686">
        <f>'Ruas Ben'!J19</f>
        <v>0</v>
      </c>
    </row>
    <row r="47" spans="1:6" s="11" customFormat="1" ht="15" hidden="1" x14ac:dyDescent="0.2">
      <c r="A47" s="585" t="e">
        <f>Orçam.!#REF!</f>
        <v>#REF!</v>
      </c>
      <c r="B47" s="611" t="e">
        <f>Orçam.!#REF!</f>
        <v>#REF!</v>
      </c>
      <c r="C47" s="589" t="e">
        <f>Orçam.!#REF!</f>
        <v>#REF!</v>
      </c>
      <c r="D47" s="685" t="s">
        <v>165</v>
      </c>
      <c r="E47" s="686">
        <f>'Ruas Ben'!Q19</f>
        <v>0</v>
      </c>
    </row>
    <row r="48" spans="1:6" s="305" customFormat="1" ht="14.25" hidden="1" x14ac:dyDescent="0.2">
      <c r="A48" s="590" t="e">
        <f>Orçam.!#REF!</f>
        <v>#REF!</v>
      </c>
      <c r="B48" s="612" t="s">
        <v>54</v>
      </c>
      <c r="C48" s="599"/>
      <c r="D48" s="599"/>
      <c r="E48" s="689"/>
    </row>
    <row r="49" spans="1:12" s="11" customFormat="1" ht="15" hidden="1" x14ac:dyDescent="0.2">
      <c r="A49" s="585" t="s">
        <v>169</v>
      </c>
      <c r="B49" s="611" t="e">
        <f>Orçam.!#REF!</f>
        <v>#REF!</v>
      </c>
      <c r="C49" s="589" t="e">
        <f>Orçam.!#REF!</f>
        <v>#REF!</v>
      </c>
      <c r="D49" s="685" t="s">
        <v>157</v>
      </c>
      <c r="E49" s="686">
        <f>'M. Calc Dre'!K53</f>
        <v>0</v>
      </c>
    </row>
    <row r="50" spans="1:12" s="11" customFormat="1" ht="15" x14ac:dyDescent="0.2">
      <c r="A50" s="579">
        <f>Orçam.!A16</f>
        <v>3</v>
      </c>
      <c r="B50" s="595" t="s">
        <v>244</v>
      </c>
      <c r="C50" s="613"/>
      <c r="D50" s="613"/>
      <c r="E50" s="683"/>
    </row>
    <row r="51" spans="1:12" s="11" customFormat="1" ht="15" x14ac:dyDescent="0.2">
      <c r="A51" s="590" t="str">
        <f>Orçam.!A17</f>
        <v>3.1</v>
      </c>
      <c r="B51" s="618" t="s">
        <v>141</v>
      </c>
      <c r="C51" s="618"/>
      <c r="D51" s="591"/>
      <c r="E51" s="690"/>
    </row>
    <row r="52" spans="1:12" s="11" customFormat="1" ht="30" x14ac:dyDescent="0.2">
      <c r="A52" s="585" t="str">
        <f>Orçam.!A18</f>
        <v>3.1.1</v>
      </c>
      <c r="B52" s="588" t="str">
        <f>Orçam.!D18</f>
        <v>SERVICOS TOPOGRAFICOS PARA PAVIMENTACAO, INCLUSIVE NOTA DE SERVICOS, ACOMPANHAMENTO E GREIDE</v>
      </c>
      <c r="C52" s="620" t="str">
        <f>Orçam.!E18</f>
        <v>m²</v>
      </c>
      <c r="D52" s="691" t="s">
        <v>257</v>
      </c>
      <c r="E52" s="692">
        <f>Terrap.!C14</f>
        <v>4044.58</v>
      </c>
    </row>
    <row r="53" spans="1:12" s="11" customFormat="1" ht="45.75" customHeight="1" x14ac:dyDescent="0.2">
      <c r="A53" s="585" t="str">
        <f>Orçam.!A19</f>
        <v>3.1.1</v>
      </c>
      <c r="B53" s="623" t="str">
        <f>Orçam.!D19</f>
        <v>ESCAVACAO MECANICA DE MATERIAL 1A. CATEGORIA, PROVENIENTE DE CORTE DE SUBLEITO (C/TRATOR ESTEIRAS 160HP)</v>
      </c>
      <c r="C53" s="693" t="str">
        <f>Orçam.!E19</f>
        <v>m³</v>
      </c>
      <c r="D53" s="694" t="s">
        <v>158</v>
      </c>
      <c r="E53" s="695">
        <f>Cub!H20</f>
        <v>1617.83</v>
      </c>
      <c r="F53" s="306"/>
      <c r="G53" s="307"/>
      <c r="H53" s="307"/>
    </row>
    <row r="54" spans="1:12" s="11" customFormat="1" ht="45.75" hidden="1" customHeight="1" x14ac:dyDescent="0.2">
      <c r="A54" s="585" t="str">
        <f>Orçam.!A20</f>
        <v>3.1.2</v>
      </c>
      <c r="B54" s="623" t="str">
        <f>Orçam.!D20</f>
        <v>REATERRO E COMPACTAÇÃO</v>
      </c>
      <c r="C54" s="693" t="str">
        <f>Orçam.!E20</f>
        <v>m³</v>
      </c>
      <c r="D54" s="694" t="s">
        <v>158</v>
      </c>
      <c r="E54" s="695">
        <f>Cub!I15</f>
        <v>0</v>
      </c>
      <c r="F54" s="306"/>
      <c r="G54" s="307"/>
      <c r="H54" s="307"/>
    </row>
    <row r="55" spans="1:12" s="11" customFormat="1" ht="35.25" customHeight="1" x14ac:dyDescent="0.2">
      <c r="A55" s="585" t="str">
        <f>Orçam.!A21</f>
        <v>3.1.2</v>
      </c>
      <c r="B55" s="623" t="str">
        <f>Orçam.!D21</f>
        <v>TRANSPORTE COMERCIAL COM CAMINHAO CARROCERIA 9 T, RODOVIA COM REVESTIMENTO PRIMARIO - (BOTA FORA DE ATE 1,00 KM)</v>
      </c>
      <c r="C55" s="693" t="str">
        <f>Orçam.!E21</f>
        <v>txkm</v>
      </c>
      <c r="D55" s="694" t="s">
        <v>522</v>
      </c>
      <c r="E55" s="695">
        <f>(Cub!I24)*1.84*1</f>
        <v>2976.81</v>
      </c>
      <c r="F55" s="306"/>
      <c r="G55" s="307"/>
      <c r="H55" s="307"/>
    </row>
    <row r="56" spans="1:12" s="11" customFormat="1" ht="15" x14ac:dyDescent="0.2">
      <c r="A56" s="590" t="str">
        <f>Orçam.!A23</f>
        <v>3.2</v>
      </c>
      <c r="B56" s="618" t="s">
        <v>42</v>
      </c>
      <c r="C56" s="618"/>
      <c r="D56" s="591"/>
      <c r="E56" s="690"/>
    </row>
    <row r="57" spans="1:12" s="11" customFormat="1" ht="30" x14ac:dyDescent="0.2">
      <c r="A57" s="585" t="str">
        <f>Orçam.!A24</f>
        <v>3.2.1</v>
      </c>
      <c r="B57" s="588" t="str">
        <f>Orçam.!D24</f>
        <v>REGULARIZACAO E COMPACTACAO DE SUBLEITO ATE 20 CM DE ESPESSURA</v>
      </c>
      <c r="C57" s="558" t="str">
        <f>Orçam.!E24</f>
        <v>m²</v>
      </c>
      <c r="D57" s="691" t="s">
        <v>262</v>
      </c>
      <c r="E57" s="692">
        <f>Terrap.!C14</f>
        <v>4044.58</v>
      </c>
    </row>
    <row r="58" spans="1:12" s="11" customFormat="1" ht="60" x14ac:dyDescent="0.2">
      <c r="A58" s="585" t="str">
        <f>Orçam.!A25</f>
        <v>3.2.2</v>
      </c>
      <c r="B58" s="588" t="str">
        <f>Orçam.!D25</f>
        <v>ESCAVACAO E CARGA MATERIAL 1A CATEGORIA, UTILIZANDO TRATOR DE ESTEIRAS DE 110 A 160HP COM LAMINA, PESO OPERACIONAL * 13T E PA CARREGADEIRA COM 170 HP.</v>
      </c>
      <c r="C58" s="558" t="str">
        <f>Orçam.!E25</f>
        <v>m³</v>
      </c>
      <c r="D58" s="691" t="s">
        <v>159</v>
      </c>
      <c r="E58" s="692">
        <f>E61+E62</f>
        <v>1587.82</v>
      </c>
    </row>
    <row r="59" spans="1:12" s="11" customFormat="1" ht="45" x14ac:dyDescent="0.2">
      <c r="A59" s="585" t="str">
        <f>Orçam.!A26</f>
        <v>3.2.3</v>
      </c>
      <c r="B59" s="588" t="str">
        <f>Orçam.!D26</f>
        <v>TRANSPORTE COMERCIAL COM CAMINHAO BASCULANTE 6 M3, RODOVIA COM REVESTIMENTO PRIMARIO - JAZIDA 23,60KM</v>
      </c>
      <c r="C59" s="558" t="str">
        <f>Orçam.!E26</f>
        <v>txkm</v>
      </c>
      <c r="D59" s="694" t="s">
        <v>405</v>
      </c>
      <c r="E59" s="692">
        <f>'BASE E SUB'!P13</f>
        <v>68949.5</v>
      </c>
    </row>
    <row r="60" spans="1:12" s="11" customFormat="1" ht="30" x14ac:dyDescent="0.2">
      <c r="A60" s="585" t="str">
        <f>Orçam.!A27</f>
        <v>3.2.4</v>
      </c>
      <c r="B60" s="588" t="str">
        <f>Orçam.!D27</f>
        <v>TRANSPORTE COMERCIAL COM CAMINHAO CARROCERIA 9 T, RODOVIA PAVIMENTADA - JAZIDA 23,60KM</v>
      </c>
      <c r="C60" s="558" t="str">
        <f>Orçam.!E27</f>
        <v>txkm</v>
      </c>
      <c r="D60" s="694" t="s">
        <v>405</v>
      </c>
      <c r="E60" s="692">
        <f>'BASE E SUB'!Q13</f>
        <v>52588.6</v>
      </c>
    </row>
    <row r="61" spans="1:12" s="11" customFormat="1" ht="45" x14ac:dyDescent="0.2">
      <c r="A61" s="585" t="str">
        <f>Orçam.!A28</f>
        <v>3.2.5</v>
      </c>
      <c r="B61" s="623" t="str">
        <f>Orçam.!D28</f>
        <v>EXECUÇÃO E COMPACTAÇÃO DE SUB BASE COM SOLO ESTABILIZADO GRANULOMETRICAMENTE - EXCLUSIVE ESCAVAÇÃO, CARGA E TRANSPORTE E SOLO. AF_09/2017</v>
      </c>
      <c r="C61" s="622" t="str">
        <f>Orçam.!E28</f>
        <v>m³</v>
      </c>
      <c r="D61" s="694" t="s">
        <v>405</v>
      </c>
      <c r="E61" s="695">
        <f>'BASE E SUB'!J13</f>
        <v>808.92</v>
      </c>
    </row>
    <row r="62" spans="1:12" s="11" customFormat="1" ht="45" x14ac:dyDescent="0.2">
      <c r="A62" s="585" t="str">
        <f>Orçam.!A29</f>
        <v>3.2.6</v>
      </c>
      <c r="B62" s="623" t="str">
        <f>Orçam.!D29</f>
        <v>EXECUÇÃO E COMPACTAÇÃO DE BASE COM SOLO ESTABILIZADO GRANULOMETRICAMENTE - EXCLUSIVE ESCAVAÇÃO, CARGA E TRANSPORTE E SOLO. AF_09/2017</v>
      </c>
      <c r="C62" s="622" t="str">
        <f>Orçam.!E29</f>
        <v>m³</v>
      </c>
      <c r="D62" s="694" t="s">
        <v>405</v>
      </c>
      <c r="E62" s="695">
        <f>'BASE E SUB'!K13</f>
        <v>778.9</v>
      </c>
    </row>
    <row r="63" spans="1:12" s="11" customFormat="1" ht="30" x14ac:dyDescent="0.2">
      <c r="A63" s="585" t="str">
        <f>Orçam.!A30</f>
        <v>3.2.7</v>
      </c>
      <c r="B63" s="623" t="str">
        <f>Orçam.!D30</f>
        <v>IMPRIMACAO DE BASE DE PAVIMENTACAO COM EMULSAO CM-30</v>
      </c>
      <c r="C63" s="622" t="str">
        <f>Orçam.!E30</f>
        <v>m²</v>
      </c>
      <c r="D63" s="694" t="s">
        <v>243</v>
      </c>
      <c r="E63" s="695">
        <f>Pavim.!C14</f>
        <v>3632.82</v>
      </c>
    </row>
    <row r="64" spans="1:12" s="11" customFormat="1" ht="30" x14ac:dyDescent="0.2">
      <c r="A64" s="585" t="str">
        <f>Orçam.!A31</f>
        <v>3.2.8</v>
      </c>
      <c r="B64" s="623" t="str">
        <f>Orçam.!D31</f>
        <v>TRATAMENTO SUPERFICIAL DUPLO - TSD, COM EMULSAO RR-2C</v>
      </c>
      <c r="C64" s="622" t="str">
        <f>Orçam.!E31</f>
        <v>m²</v>
      </c>
      <c r="D64" s="694" t="s">
        <v>243</v>
      </c>
      <c r="E64" s="695">
        <f>Pavim.!C14</f>
        <v>3632.82</v>
      </c>
      <c r="K64" s="308"/>
      <c r="L64" s="308"/>
    </row>
    <row r="65" spans="1:13" s="11" customFormat="1" ht="75" x14ac:dyDescent="0.2">
      <c r="A65" s="585" t="str">
        <f>Orçam.!A32</f>
        <v>3.2.9</v>
      </c>
      <c r="B65" s="623" t="str">
        <f>Orçam.!D32</f>
        <v>CAPA SELANTE COMPREENDENDO APLICAÇÃO DE ASFALTO NA PROPORÇÃO DE 0,7 A 1,5L / M2, DISTRIBUIÇÃO DE AGREGADOS DE 5 A 15KG/M2 E COMPACTAÇÃO COM ROLO - COM EMULSAO RR-2C, INCLUSO APLICACAO E COMPACTACAO</v>
      </c>
      <c r="C65" s="622" t="str">
        <f>Orçam.!E32</f>
        <v>m²</v>
      </c>
      <c r="D65" s="694" t="s">
        <v>243</v>
      </c>
      <c r="E65" s="695">
        <f>Pavim.!C14</f>
        <v>3632.82</v>
      </c>
      <c r="K65" s="308"/>
      <c r="L65" s="308"/>
    </row>
    <row r="66" spans="1:13" s="11" customFormat="1" ht="60" x14ac:dyDescent="0.2">
      <c r="A66" s="585" t="str">
        <f>Orçam.!A33</f>
        <v>3.2.10</v>
      </c>
      <c r="B66" s="588" t="str">
        <f>Orçam.!D33</f>
        <v>TRANSPORTE DE MATERIAL ASFALTICO, COM CAMINHÃO COM CAPACIDADE DE 30000L EM RODOVIA PAVIMENTADA PARA DISTÂNCIAS MÉDIAS DE TRANSPORTE SUPERIORES A 100 KM. AF_02/2016 - 112 KM - CUIABA À ENTRADA DA MT-453</v>
      </c>
      <c r="C66" s="558" t="str">
        <f>Orçam.!E33</f>
        <v>txkm</v>
      </c>
      <c r="D66" s="694" t="s">
        <v>264</v>
      </c>
      <c r="E66" s="695">
        <f>'MAT BETUMINOSO'!K13</f>
        <v>1952.16</v>
      </c>
      <c r="K66" s="308"/>
      <c r="L66" s="308"/>
    </row>
    <row r="67" spans="1:13" s="11" customFormat="1" ht="75" x14ac:dyDescent="0.2">
      <c r="A67" s="585" t="str">
        <f>Orçam.!A34</f>
        <v>3.2.11</v>
      </c>
      <c r="B67" s="588" t="str">
        <f>Orçam.!D34</f>
        <v>TRANSPORTE DE MATERIAL ASFALTICO, COM CAMINHÃO COM CAPACIDADE DE 20000L EM RODOVIA NÃO PAVIMENTADA PARA DISTÂNCIAS MÉDIAS DE TRANSPORTE IGUAL OU INFERIOR A 100 KM. AF_02/2016 - 24 KM -ENTRADA DA MT-453 AO DISTRITO</v>
      </c>
      <c r="C67" s="558" t="str">
        <f>Orçam.!E34</f>
        <v>txkm</v>
      </c>
      <c r="D67" s="694" t="s">
        <v>264</v>
      </c>
      <c r="E67" s="695">
        <f>'MAT BETUMINOSO'!L13</f>
        <v>418.32</v>
      </c>
      <c r="K67" s="308"/>
      <c r="L67" s="308"/>
    </row>
    <row r="68" spans="1:13" s="11" customFormat="1" ht="45" x14ac:dyDescent="0.2">
      <c r="A68" s="585" t="str">
        <f>Orçam.!A35</f>
        <v>3.2.12</v>
      </c>
      <c r="B68" s="588" t="str">
        <f>Orçam.!D35</f>
        <v>TRANSPORTE COMERCIAL COM CAMINHAO BASCULANTE 6 M3, RODOVIA PAVIMENTADA - (BRITA)  35 KM - SERRA DE SÃO VICENTE À ENTRADA DA MT-453</v>
      </c>
      <c r="C68" s="558" t="str">
        <f>Orçam.!E35</f>
        <v>txkm</v>
      </c>
      <c r="D68" s="694" t="s">
        <v>263</v>
      </c>
      <c r="E68" s="692">
        <f>'MAT. PETREO'!K13</f>
        <v>5678.4</v>
      </c>
      <c r="K68" s="309"/>
      <c r="L68" s="308"/>
    </row>
    <row r="69" spans="1:13" s="11" customFormat="1" ht="45" x14ac:dyDescent="0.2">
      <c r="A69" s="585" t="str">
        <f>Orçam.!A36</f>
        <v>3.2.13</v>
      </c>
      <c r="B69" s="588" t="str">
        <f>Orçam.!D36</f>
        <v>TRANSPORTE COMERCIAL COM CAMINHAO CARROCERIA 9 T, RODOVIA COM REVESTIMENTO PRIMARIO - (BRITA)  24 KM -ENTRADA DA MT-453 AO DISTRITO</v>
      </c>
      <c r="C69" s="558" t="str">
        <f>Orçam.!E36</f>
        <v>txkm</v>
      </c>
      <c r="D69" s="694" t="s">
        <v>263</v>
      </c>
      <c r="E69" s="692">
        <f>'MAT. PETREO'!L13</f>
        <v>3893.76</v>
      </c>
      <c r="K69" s="309"/>
      <c r="L69" s="308"/>
    </row>
    <row r="70" spans="1:13" s="11" customFormat="1" ht="15" x14ac:dyDescent="0.2">
      <c r="A70" s="590" t="str">
        <f>Orçam.!A38</f>
        <v>3.3</v>
      </c>
      <c r="B70" s="612" t="s">
        <v>48</v>
      </c>
      <c r="C70" s="599"/>
      <c r="D70" s="599"/>
      <c r="E70" s="684"/>
    </row>
    <row r="71" spans="1:13" s="11" customFormat="1" ht="60" x14ac:dyDescent="0.2">
      <c r="A71" s="585" t="str">
        <f>Orçam.!A39</f>
        <v>3.3.1</v>
      </c>
      <c r="B71" s="611" t="str">
        <f>Orçam.!D39</f>
        <v>GUIA (MEIO-FIO) E SARJETA CONJUGADOS DE CONCRETO, MOLDADA IN LOCO EM TRECHO RETO COM EXTRUSORA, GUIA 13 CM BASE X 22 CM ALTURA, SARJETA 30CM BASE X 8,5 CM ALTURA. AF_06/2016</v>
      </c>
      <c r="C71" s="589" t="str">
        <f>Orçam.!E39</f>
        <v>m</v>
      </c>
      <c r="D71" s="685" t="s">
        <v>255</v>
      </c>
      <c r="E71" s="696">
        <f>'MF e Sarj.'!C15</f>
        <v>951.06</v>
      </c>
      <c r="K71" s="308"/>
      <c r="L71" s="308"/>
      <c r="M71" s="308"/>
    </row>
    <row r="72" spans="1:13" s="11" customFormat="1" ht="29.25" customHeight="1" x14ac:dyDescent="0.2">
      <c r="A72" s="585" t="str">
        <f>Orçam.!A40</f>
        <v>3.3.2</v>
      </c>
      <c r="B72" s="611" t="str">
        <f>Orçam.!D40</f>
        <v>EXECUÇÃO DE PASSEIO (CALÇADA) COM CONCRETO MOLDADO IN LOCO, FEITO EM OBRA, ACABAMENTO CONVENCIONAL, NÃO ARMADO. AF_07/2016</v>
      </c>
      <c r="C72" s="589" t="str">
        <f>Orçam.!E40</f>
        <v>m³</v>
      </c>
      <c r="D72" s="685" t="s">
        <v>409</v>
      </c>
      <c r="E72" s="696">
        <f>CALÇADA!C14</f>
        <v>79.89</v>
      </c>
      <c r="K72" s="308"/>
      <c r="L72" s="308"/>
      <c r="M72" s="308"/>
    </row>
    <row r="73" spans="1:13" s="11" customFormat="1" ht="15" hidden="1" x14ac:dyDescent="0.2">
      <c r="A73" s="585" t="e">
        <f>Orçam.!#REF!</f>
        <v>#REF!</v>
      </c>
      <c r="B73" s="611" t="e">
        <f>Orçam.!#REF!</f>
        <v>#REF!</v>
      </c>
      <c r="C73" s="589" t="e">
        <f>Orçam.!#REF!</f>
        <v>#REF!</v>
      </c>
      <c r="D73" s="685" t="s">
        <v>510</v>
      </c>
      <c r="E73" s="696"/>
      <c r="K73" s="308"/>
      <c r="L73" s="308"/>
      <c r="M73" s="308"/>
    </row>
    <row r="74" spans="1:13" s="11" customFormat="1" ht="15" hidden="1" x14ac:dyDescent="0.2">
      <c r="A74" s="585" t="e">
        <f>Orçam.!#REF!</f>
        <v>#REF!</v>
      </c>
      <c r="B74" s="611" t="e">
        <f>Orçam.!#REF!</f>
        <v>#REF!</v>
      </c>
      <c r="C74" s="589" t="e">
        <f>Orçam.!#REF!</f>
        <v>#REF!</v>
      </c>
      <c r="D74" s="685" t="s">
        <v>511</v>
      </c>
      <c r="E74" s="696"/>
      <c r="K74" s="308"/>
      <c r="L74" s="308"/>
      <c r="M74" s="308"/>
    </row>
    <row r="75" spans="1:13" s="11" customFormat="1" ht="15" hidden="1" x14ac:dyDescent="0.2">
      <c r="A75" s="585" t="e">
        <f>Orçam.!#REF!</f>
        <v>#REF!</v>
      </c>
      <c r="B75" s="611" t="e">
        <f>Orçam.!#REF!</f>
        <v>#REF!</v>
      </c>
      <c r="C75" s="589" t="e">
        <f>Orçam.!#REF!</f>
        <v>#REF!</v>
      </c>
      <c r="D75" s="685" t="s">
        <v>510</v>
      </c>
      <c r="E75" s="696"/>
      <c r="K75" s="308"/>
      <c r="L75" s="308"/>
      <c r="M75" s="308"/>
    </row>
    <row r="76" spans="1:13" s="11" customFormat="1" ht="15" x14ac:dyDescent="0.2">
      <c r="A76" s="590" t="str">
        <f>Orçam.!A42</f>
        <v>3.4</v>
      </c>
      <c r="B76" s="618" t="s">
        <v>142</v>
      </c>
      <c r="C76" s="618"/>
      <c r="D76" s="591"/>
      <c r="E76" s="690"/>
    </row>
    <row r="77" spans="1:13" s="11" customFormat="1" ht="30" x14ac:dyDescent="0.2">
      <c r="A77" s="585" t="s">
        <v>278</v>
      </c>
      <c r="B77" s="611" t="str">
        <f>Orçam.!D43</f>
        <v>CONFECÇÃO DE PLACAS DE SINALIZAÇÃO TOTALMENTE REFLETIVA</v>
      </c>
      <c r="C77" s="589" t="str">
        <f>Orçam.!E43</f>
        <v>m²</v>
      </c>
      <c r="D77" s="697" t="s">
        <v>163</v>
      </c>
      <c r="E77" s="698">
        <f>Sinal.!I38</f>
        <v>1.42</v>
      </c>
      <c r="K77" s="309"/>
    </row>
    <row r="78" spans="1:13" s="11" customFormat="1" ht="30" x14ac:dyDescent="0.2">
      <c r="A78" s="585" t="s">
        <v>296</v>
      </c>
      <c r="B78" s="611" t="str">
        <f>Orçam.!D44</f>
        <v>CONFECÇÃO DE PLACAS DE SINALIZAÇÃO TOTALMENTE REFLETIVA (IDENTIFICAÇÃO DE RUAS)</v>
      </c>
      <c r="C78" s="589" t="str">
        <f>Orçam.!E44</f>
        <v>m²</v>
      </c>
      <c r="D78" s="697" t="s">
        <v>163</v>
      </c>
      <c r="E78" s="698">
        <f>Sinal.!I39</f>
        <v>0.4</v>
      </c>
    </row>
    <row r="79" spans="1:13" s="11" customFormat="1" ht="30" x14ac:dyDescent="0.2">
      <c r="A79" s="585" t="s">
        <v>340</v>
      </c>
      <c r="B79" s="611" t="str">
        <f>Orçam.!D45</f>
        <v>CONFECÇÃO SUPORTE E TRAVESSA P/ PLACAS DE SINALIZAÇÃO</v>
      </c>
      <c r="C79" s="589" t="str">
        <f>Orçam.!E45</f>
        <v>und</v>
      </c>
      <c r="D79" s="697" t="s">
        <v>163</v>
      </c>
      <c r="E79" s="698">
        <f>Sinal.!I40</f>
        <v>6</v>
      </c>
    </row>
    <row r="80" spans="1:13" s="11" customFormat="1" ht="30" x14ac:dyDescent="0.2">
      <c r="A80" s="585" t="s">
        <v>340</v>
      </c>
      <c r="B80" s="611" t="str">
        <f>Orçam.!D46</f>
        <v>CONFECÇÃO SUPORTE E TRAVESSA P/ PLACAS DE SINALIZAÇÃO (IDENTIFICAÇÃO DE RUAS)</v>
      </c>
      <c r="C80" s="589" t="str">
        <f>Orçam.!E46</f>
        <v>und</v>
      </c>
      <c r="D80" s="697" t="s">
        <v>163</v>
      </c>
      <c r="E80" s="698">
        <f>Sinal.!I41</f>
        <v>2</v>
      </c>
    </row>
    <row r="81" spans="1:10" s="11" customFormat="1" ht="30" x14ac:dyDescent="0.2">
      <c r="A81" s="585" t="s">
        <v>340</v>
      </c>
      <c r="B81" s="611" t="str">
        <f>Orçam.!D47</f>
        <v>SINALIZACAO HORIZONTAL COM TINTA RETRORREFLETIVA A BASE DE RESINA ACRILICA COM MICROESFERAS DE VIDRO</v>
      </c>
      <c r="C81" s="589" t="str">
        <f>Orçam.!E47</f>
        <v>m²</v>
      </c>
      <c r="D81" s="697" t="s">
        <v>163</v>
      </c>
      <c r="E81" s="698">
        <f>Sinal.!I42</f>
        <v>235.46</v>
      </c>
    </row>
    <row r="82" spans="1:10" ht="15.75" thickBot="1" x14ac:dyDescent="0.25">
      <c r="A82" s="699" t="s">
        <v>341</v>
      </c>
      <c r="B82" s="700" t="str">
        <f>Orçam.!D48</f>
        <v>PISO TATIL DE CONCRETO - 0,25x0,25 m</v>
      </c>
      <c r="C82" s="701" t="str">
        <f>Orçam.!E48</f>
        <v>und</v>
      </c>
      <c r="D82" s="702" t="s">
        <v>163</v>
      </c>
      <c r="E82" s="703">
        <f>'PISO TATIL'!M14</f>
        <v>258.3</v>
      </c>
    </row>
    <row r="83" spans="1:10" ht="15" x14ac:dyDescent="0.2">
      <c r="I83" s="311"/>
      <c r="J83" s="312"/>
    </row>
    <row r="84" spans="1:10" ht="15.75" x14ac:dyDescent="0.2">
      <c r="B84" s="313" t="str">
        <f>Terrap.!B16</f>
        <v xml:space="preserve">  </v>
      </c>
      <c r="I84" s="311"/>
      <c r="J84" s="312"/>
    </row>
    <row r="85" spans="1:10" ht="15" x14ac:dyDescent="0.2">
      <c r="B85" s="22" t="str">
        <f>Terrap.!B17</f>
        <v xml:space="preserve">   </v>
      </c>
      <c r="I85" s="311"/>
      <c r="J85" s="312"/>
    </row>
  </sheetData>
  <mergeCells count="10">
    <mergeCell ref="A1:B2"/>
    <mergeCell ref="C1:E1"/>
    <mergeCell ref="C2:E2"/>
    <mergeCell ref="M4:P6"/>
    <mergeCell ref="A7:E7"/>
    <mergeCell ref="G4:H5"/>
    <mergeCell ref="I4:J5"/>
    <mergeCell ref="D4:D6"/>
    <mergeCell ref="E4:E6"/>
    <mergeCell ref="C5:C6"/>
  </mergeCells>
  <pageMargins left="0.19685039370078741" right="0.19685039370078741" top="0.19685039370078741" bottom="0.19685039370078741" header="0.31496062992125984" footer="0.31496062992125984"/>
  <pageSetup paperSize="9" scale="73" orientation="portrait" r:id="rId1"/>
  <rowBreaks count="1" manualBreakCount="1">
    <brk id="6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topLeftCell="A40" zoomScale="85" zoomScaleNormal="85" zoomScaleSheetLayoutView="85" zoomScalePageLayoutView="80" workbookViewId="0">
      <selection activeCell="I51" sqref="I51"/>
    </sheetView>
  </sheetViews>
  <sheetFormatPr defaultRowHeight="15" x14ac:dyDescent="0.2"/>
  <cols>
    <col min="1" max="1" width="12.42578125" style="17" customWidth="1"/>
    <col min="2" max="3" width="15" style="17" customWidth="1"/>
    <col min="4" max="4" width="69.7109375" style="317" customWidth="1"/>
    <col min="5" max="5" width="10.140625" style="17" customWidth="1"/>
    <col min="6" max="6" width="11.7109375" style="19" bestFit="1" customWidth="1"/>
    <col min="7" max="7" width="10.7109375" style="59" customWidth="1"/>
    <col min="8" max="8" width="12.85546875" style="19" bestFit="1" customWidth="1"/>
    <col min="9" max="9" width="10.7109375" style="20" customWidth="1"/>
    <col min="10" max="10" width="16.7109375" style="20" customWidth="1"/>
    <col min="11" max="11" width="12.5703125" style="32" customWidth="1"/>
    <col min="12" max="12" width="9.85546875" style="11" customWidth="1"/>
    <col min="13" max="14" width="13.140625" style="11" bestFit="1" customWidth="1"/>
    <col min="15" max="15" width="12.5703125" style="11" bestFit="1" customWidth="1"/>
    <col min="16" max="16384" width="9.140625" style="11"/>
  </cols>
  <sheetData>
    <row r="1" spans="1:15" ht="47.25" customHeight="1" x14ac:dyDescent="0.2">
      <c r="A1" s="1127"/>
      <c r="B1" s="1128"/>
      <c r="C1" s="1128"/>
      <c r="D1" s="1148" t="str">
        <f>Terrap.!C1</f>
        <v>ESTADO DE MATO GROSSO</v>
      </c>
      <c r="E1" s="1148"/>
      <c r="F1" s="1148"/>
      <c r="G1" s="1148"/>
      <c r="H1" s="1148"/>
      <c r="I1" s="1148"/>
      <c r="J1" s="1148"/>
      <c r="K1" s="1149"/>
    </row>
    <row r="2" spans="1:15" ht="47.25" customHeight="1" x14ac:dyDescent="0.2">
      <c r="A2" s="1129"/>
      <c r="B2" s="1130"/>
      <c r="C2" s="1130"/>
      <c r="D2" s="1150" t="str">
        <f>Terrap.!C2</f>
        <v>PREFEITURA MUNICIPAL DE JACIARA</v>
      </c>
      <c r="E2" s="1150"/>
      <c r="F2" s="1150"/>
      <c r="G2" s="1150"/>
      <c r="H2" s="1150"/>
      <c r="I2" s="1150"/>
      <c r="J2" s="1150"/>
      <c r="K2" s="1151"/>
      <c r="L2" s="17"/>
      <c r="M2" s="17"/>
      <c r="N2" s="17"/>
    </row>
    <row r="3" spans="1:15" ht="26.25" customHeight="1" x14ac:dyDescent="0.2">
      <c r="A3" s="458" t="str">
        <f>Terrap.!A3</f>
        <v>OBRA:</v>
      </c>
      <c r="B3" s="1156" t="str">
        <f>Terrap.!B3</f>
        <v>PAVIMENTAÇÃO ASFALTICA EM TSD</v>
      </c>
      <c r="C3" s="1156"/>
      <c r="D3" s="1156"/>
      <c r="E3" s="1156"/>
      <c r="F3" s="1156"/>
      <c r="G3" s="1156"/>
      <c r="H3" s="1154" t="s">
        <v>143</v>
      </c>
      <c r="I3" s="1154"/>
      <c r="J3" s="1154" t="str">
        <f>Terrap.!I4</f>
        <v>SINAPI - JANEIRO / 2019                                                                             ANP 12/2018 (com desoneração)</v>
      </c>
      <c r="K3" s="1155"/>
      <c r="L3" s="17"/>
      <c r="M3" s="17"/>
      <c r="N3" s="17"/>
    </row>
    <row r="4" spans="1:15" ht="26.25" customHeight="1" x14ac:dyDescent="0.2">
      <c r="A4" s="458" t="str">
        <f>Terrap.!A4</f>
        <v>LOCAL:</v>
      </c>
      <c r="B4" s="1156" t="str">
        <f>Terrap.!B4</f>
        <v>DIVERSAS RUAS - DISTRITO DE CELMA</v>
      </c>
      <c r="C4" s="1156"/>
      <c r="D4" s="1156"/>
      <c r="E4" s="1156"/>
      <c r="F4" s="1156"/>
      <c r="G4" s="1156"/>
      <c r="H4" s="1154"/>
      <c r="I4" s="1154"/>
      <c r="J4" s="1154"/>
      <c r="K4" s="1155"/>
    </row>
    <row r="5" spans="1:15" ht="26.25" customHeight="1" x14ac:dyDescent="0.2">
      <c r="A5" s="458" t="str">
        <f>Terrap.!A5</f>
        <v>PROPR.:</v>
      </c>
      <c r="B5" s="1157" t="str">
        <f>Terrap.!B5</f>
        <v>PREFEITURA MUNICIPAL DE JACIARA</v>
      </c>
      <c r="C5" s="1157"/>
      <c r="D5" s="1157"/>
      <c r="E5" s="1157"/>
      <c r="F5" s="1157"/>
      <c r="G5" s="1157"/>
      <c r="H5" s="1154"/>
      <c r="I5" s="1154"/>
      <c r="J5" s="1154"/>
      <c r="K5" s="1155"/>
      <c r="M5" s="1135"/>
      <c r="N5" s="1135"/>
      <c r="O5" s="1135"/>
    </row>
    <row r="6" spans="1:15" ht="26.25" customHeight="1" thickBot="1" x14ac:dyDescent="0.25">
      <c r="A6" s="460" t="str">
        <f>Terrap.!A6</f>
        <v>ÁREA (m²):</v>
      </c>
      <c r="B6" s="1158">
        <f>Pavim.!C14</f>
        <v>3632.82</v>
      </c>
      <c r="C6" s="1158"/>
      <c r="D6" s="1158"/>
      <c r="E6" s="1158"/>
      <c r="F6" s="1145" t="s">
        <v>455</v>
      </c>
      <c r="G6" s="1145"/>
      <c r="H6" s="1146" t="str">
        <f>Terrap.!F5</f>
        <v>FEVEREIRO 2019</v>
      </c>
      <c r="I6" s="1147"/>
      <c r="J6" s="489" t="s">
        <v>61</v>
      </c>
      <c r="K6" s="638">
        <f>Terrap.!F6</f>
        <v>0.26019999999999999</v>
      </c>
      <c r="M6" s="1135"/>
      <c r="N6" s="1135"/>
      <c r="O6" s="1135"/>
    </row>
    <row r="7" spans="1:15" ht="32.25" customHeight="1" thickBot="1" x14ac:dyDescent="0.25">
      <c r="A7" s="1136" t="s">
        <v>137</v>
      </c>
      <c r="B7" s="1137"/>
      <c r="C7" s="1137"/>
      <c r="D7" s="1137"/>
      <c r="E7" s="1137"/>
      <c r="F7" s="1137"/>
      <c r="G7" s="1137"/>
      <c r="H7" s="1137"/>
      <c r="I7" s="1137"/>
      <c r="J7" s="1137"/>
      <c r="K7" s="1138"/>
    </row>
    <row r="8" spans="1:15" ht="57" x14ac:dyDescent="0.2">
      <c r="A8" s="572" t="s">
        <v>0</v>
      </c>
      <c r="B8" s="573" t="s">
        <v>497</v>
      </c>
      <c r="C8" s="573" t="s">
        <v>498</v>
      </c>
      <c r="D8" s="574" t="s">
        <v>1</v>
      </c>
      <c r="E8" s="574" t="s">
        <v>2</v>
      </c>
      <c r="F8" s="575" t="s">
        <v>3</v>
      </c>
      <c r="G8" s="576" t="s">
        <v>495</v>
      </c>
      <c r="H8" s="577" t="s">
        <v>138</v>
      </c>
      <c r="I8" s="577" t="s">
        <v>136</v>
      </c>
      <c r="J8" s="577" t="s">
        <v>496</v>
      </c>
      <c r="K8" s="578" t="s">
        <v>4</v>
      </c>
      <c r="L8" s="315"/>
      <c r="M8" s="1152"/>
      <c r="N8" s="1152"/>
      <c r="O8" s="1152"/>
    </row>
    <row r="9" spans="1:15" x14ac:dyDescent="0.2">
      <c r="A9" s="579">
        <v>1</v>
      </c>
      <c r="B9" s="580"/>
      <c r="C9" s="580"/>
      <c r="D9" s="581" t="s">
        <v>30</v>
      </c>
      <c r="E9" s="580"/>
      <c r="F9" s="582"/>
      <c r="G9" s="583"/>
      <c r="H9" s="582"/>
      <c r="I9" s="582"/>
      <c r="J9" s="582"/>
      <c r="K9" s="584"/>
      <c r="L9" s="557"/>
    </row>
    <row r="10" spans="1:15" ht="30" x14ac:dyDescent="0.2">
      <c r="A10" s="585" t="s">
        <v>23</v>
      </c>
      <c r="B10" s="559">
        <v>93584</v>
      </c>
      <c r="C10" s="559"/>
      <c r="D10" s="586" t="s">
        <v>514</v>
      </c>
      <c r="E10" s="558" t="s">
        <v>6</v>
      </c>
      <c r="F10" s="587">
        <f>'Mem. Calc.'!E10</f>
        <v>9</v>
      </c>
      <c r="G10" s="587">
        <v>476.45</v>
      </c>
      <c r="H10" s="587">
        <f t="shared" ref="H10:H11" si="0">TRUNC(F10*G10,2)</f>
        <v>4288.05</v>
      </c>
      <c r="I10" s="587">
        <f>TRUNC(G10+G10*$K$6,2)</f>
        <v>600.41999999999996</v>
      </c>
      <c r="J10" s="587">
        <f t="shared" ref="J10:J11" si="1">TRUNC(I10*F10,2)</f>
        <v>5403.78</v>
      </c>
      <c r="K10" s="1153">
        <f>J12/J50</f>
        <v>1.77E-2</v>
      </c>
      <c r="L10" s="557"/>
    </row>
    <row r="11" spans="1:15" x14ac:dyDescent="0.2">
      <c r="A11" s="585" t="s">
        <v>44</v>
      </c>
      <c r="B11" s="558" t="s">
        <v>36</v>
      </c>
      <c r="C11" s="558"/>
      <c r="D11" s="588" t="s">
        <v>105</v>
      </c>
      <c r="E11" s="558" t="s">
        <v>6</v>
      </c>
      <c r="F11" s="587">
        <f>'Mem. Calc.'!E11</f>
        <v>3.13</v>
      </c>
      <c r="G11" s="587">
        <v>499.09</v>
      </c>
      <c r="H11" s="587">
        <f t="shared" si="0"/>
        <v>1562.15</v>
      </c>
      <c r="I11" s="587">
        <f t="shared" ref="I11" si="2">TRUNC(G11+G11*$K$6,2)</f>
        <v>628.95000000000005</v>
      </c>
      <c r="J11" s="587">
        <f t="shared" si="1"/>
        <v>1968.61</v>
      </c>
      <c r="K11" s="1153"/>
      <c r="L11" s="557"/>
    </row>
    <row r="12" spans="1:15" x14ac:dyDescent="0.2">
      <c r="A12" s="590"/>
      <c r="B12" s="591"/>
      <c r="C12" s="591"/>
      <c r="D12" s="592" t="s">
        <v>7</v>
      </c>
      <c r="E12" s="591"/>
      <c r="F12" s="593"/>
      <c r="G12" s="594"/>
      <c r="H12" s="594"/>
      <c r="I12" s="594"/>
      <c r="J12" s="594">
        <f>SUM(J10:J11)</f>
        <v>7372.39</v>
      </c>
      <c r="K12" s="1153"/>
      <c r="L12" s="557"/>
    </row>
    <row r="13" spans="1:15" x14ac:dyDescent="0.2">
      <c r="A13" s="579">
        <v>2</v>
      </c>
      <c r="B13" s="580"/>
      <c r="C13" s="580"/>
      <c r="D13" s="595" t="s">
        <v>274</v>
      </c>
      <c r="E13" s="580"/>
      <c r="F13" s="596"/>
      <c r="G13" s="583"/>
      <c r="H13" s="583"/>
      <c r="I13" s="583"/>
      <c r="J13" s="583"/>
      <c r="K13" s="584"/>
      <c r="L13" s="557"/>
    </row>
    <row r="14" spans="1:15" ht="30" x14ac:dyDescent="0.2">
      <c r="A14" s="585" t="s">
        <v>24</v>
      </c>
      <c r="B14" s="558" t="s">
        <v>423</v>
      </c>
      <c r="C14" s="558"/>
      <c r="D14" s="588" t="s">
        <v>605</v>
      </c>
      <c r="E14" s="558" t="s">
        <v>50</v>
      </c>
      <c r="F14" s="597">
        <v>1</v>
      </c>
      <c r="G14" s="587">
        <f>'ADM LOCAL'!H17</f>
        <v>13837.48</v>
      </c>
      <c r="H14" s="587">
        <f t="shared" ref="H14" si="3">TRUNC(F14*G14,2)</f>
        <v>13837.48</v>
      </c>
      <c r="I14" s="587">
        <f t="shared" ref="I14" si="4">TRUNC(G14+G14*$K$6,2)</f>
        <v>17437.990000000002</v>
      </c>
      <c r="J14" s="587">
        <f t="shared" ref="J14" si="5">TRUNC(I14*F14,2)</f>
        <v>17437.990000000002</v>
      </c>
      <c r="K14" s="1153">
        <f>J15/J50</f>
        <v>4.19E-2</v>
      </c>
      <c r="L14" s="557"/>
    </row>
    <row r="15" spans="1:15" x14ac:dyDescent="0.2">
      <c r="A15" s="590"/>
      <c r="B15" s="591"/>
      <c r="C15" s="591"/>
      <c r="D15" s="592" t="s">
        <v>7</v>
      </c>
      <c r="E15" s="591"/>
      <c r="F15" s="593"/>
      <c r="G15" s="594"/>
      <c r="H15" s="594"/>
      <c r="I15" s="594"/>
      <c r="J15" s="594">
        <f>SUM(J14:J14)</f>
        <v>17437.990000000002</v>
      </c>
      <c r="K15" s="1153"/>
      <c r="L15" s="557"/>
    </row>
    <row r="16" spans="1:15" x14ac:dyDescent="0.2">
      <c r="A16" s="579">
        <v>3</v>
      </c>
      <c r="B16" s="580"/>
      <c r="C16" s="580"/>
      <c r="D16" s="595" t="s">
        <v>244</v>
      </c>
      <c r="E16" s="613"/>
      <c r="F16" s="614"/>
      <c r="G16" s="615"/>
      <c r="H16" s="583"/>
      <c r="I16" s="583"/>
      <c r="J16" s="616"/>
      <c r="K16" s="617"/>
    </row>
    <row r="17" spans="1:11" x14ac:dyDescent="0.2">
      <c r="A17" s="590" t="s">
        <v>25</v>
      </c>
      <c r="B17" s="591"/>
      <c r="C17" s="591"/>
      <c r="D17" s="618" t="s">
        <v>407</v>
      </c>
      <c r="E17" s="618"/>
      <c r="F17" s="618"/>
      <c r="G17" s="594"/>
      <c r="H17" s="594"/>
      <c r="I17" s="594"/>
      <c r="J17" s="619"/>
      <c r="K17" s="1159">
        <f>(SUM(J17:J49)/2)/J50</f>
        <v>0.94040000000000001</v>
      </c>
    </row>
    <row r="18" spans="1:11" ht="30" hidden="1" x14ac:dyDescent="0.2">
      <c r="A18" s="585" t="s">
        <v>38</v>
      </c>
      <c r="B18" s="607">
        <v>78472</v>
      </c>
      <c r="C18" s="607"/>
      <c r="D18" s="588" t="s">
        <v>298</v>
      </c>
      <c r="E18" s="620" t="s">
        <v>6</v>
      </c>
      <c r="F18" s="621"/>
      <c r="G18" s="587"/>
      <c r="H18" s="587"/>
      <c r="I18" s="587"/>
      <c r="J18" s="621"/>
      <c r="K18" s="1159"/>
    </row>
    <row r="19" spans="1:11" ht="45" x14ac:dyDescent="0.2">
      <c r="A19" s="585" t="s">
        <v>38</v>
      </c>
      <c r="B19" s="622" t="s">
        <v>155</v>
      </c>
      <c r="C19" s="622"/>
      <c r="D19" s="623" t="s">
        <v>156</v>
      </c>
      <c r="E19" s="624" t="s">
        <v>31</v>
      </c>
      <c r="F19" s="625">
        <f>'Mem. Calc.'!E53</f>
        <v>1617.83</v>
      </c>
      <c r="G19" s="610">
        <v>1.45</v>
      </c>
      <c r="H19" s="610">
        <f>TRUNC(F19*G19,2)</f>
        <v>2345.85</v>
      </c>
      <c r="I19" s="587">
        <f t="shared" ref="I19:I21" si="6">TRUNC(G19+G19*$K$6,2)</f>
        <v>1.82</v>
      </c>
      <c r="J19" s="625">
        <f>TRUNC(F19*I19,2)</f>
        <v>2944.45</v>
      </c>
      <c r="K19" s="1159"/>
    </row>
    <row r="20" spans="1:11" hidden="1" x14ac:dyDescent="0.2">
      <c r="A20" s="585" t="s">
        <v>480</v>
      </c>
      <c r="B20" s="622"/>
      <c r="C20" s="622" t="s">
        <v>506</v>
      </c>
      <c r="D20" s="623" t="s">
        <v>507</v>
      </c>
      <c r="E20" s="624" t="s">
        <v>31</v>
      </c>
      <c r="F20" s="625">
        <f>'Mem. Calc.'!E54</f>
        <v>0</v>
      </c>
      <c r="G20" s="610">
        <v>23.52</v>
      </c>
      <c r="H20" s="626">
        <f>TRUNC(F20*G20,2)</f>
        <v>0</v>
      </c>
      <c r="I20" s="587">
        <f t="shared" si="6"/>
        <v>29.63</v>
      </c>
      <c r="J20" s="625">
        <f>TRUNC(F20*I20,2)</f>
        <v>0</v>
      </c>
      <c r="K20" s="1159"/>
    </row>
    <row r="21" spans="1:11" ht="45" x14ac:dyDescent="0.2">
      <c r="A21" s="585" t="s">
        <v>480</v>
      </c>
      <c r="B21" s="607">
        <v>72839</v>
      </c>
      <c r="C21" s="607"/>
      <c r="D21" s="623" t="s">
        <v>608</v>
      </c>
      <c r="E21" s="624" t="s">
        <v>271</v>
      </c>
      <c r="F21" s="625">
        <f>'Mem. Calc.'!E55</f>
        <v>2976.81</v>
      </c>
      <c r="G21" s="610">
        <v>0.72</v>
      </c>
      <c r="H21" s="610">
        <f>TRUNC(F21*G21,2)</f>
        <v>2143.3000000000002</v>
      </c>
      <c r="I21" s="587">
        <f t="shared" si="6"/>
        <v>0.9</v>
      </c>
      <c r="J21" s="625">
        <f>TRUNC(F21*I21,2)</f>
        <v>2679.12</v>
      </c>
      <c r="K21" s="1159"/>
    </row>
    <row r="22" spans="1:11" x14ac:dyDescent="0.2">
      <c r="A22" s="627"/>
      <c r="B22" s="628"/>
      <c r="C22" s="628"/>
      <c r="D22" s="629" t="s">
        <v>7</v>
      </c>
      <c r="E22" s="630"/>
      <c r="F22" s="631"/>
      <c r="G22" s="632"/>
      <c r="H22" s="632"/>
      <c r="I22" s="632"/>
      <c r="J22" s="631">
        <f>SUM(J18:J21)</f>
        <v>5623.57</v>
      </c>
      <c r="K22" s="1159"/>
    </row>
    <row r="23" spans="1:11" x14ac:dyDescent="0.2">
      <c r="A23" s="590" t="s">
        <v>26</v>
      </c>
      <c r="B23" s="591"/>
      <c r="C23" s="591"/>
      <c r="D23" s="618" t="s">
        <v>42</v>
      </c>
      <c r="E23" s="618"/>
      <c r="F23" s="618"/>
      <c r="G23" s="594"/>
      <c r="H23" s="594"/>
      <c r="I23" s="594"/>
      <c r="J23" s="619"/>
      <c r="K23" s="1159"/>
    </row>
    <row r="24" spans="1:11" ht="30" x14ac:dyDescent="0.2">
      <c r="A24" s="585" t="s">
        <v>170</v>
      </c>
      <c r="B24" s="589">
        <v>72961</v>
      </c>
      <c r="C24" s="589"/>
      <c r="D24" s="588" t="s">
        <v>108</v>
      </c>
      <c r="E24" s="558" t="s">
        <v>6</v>
      </c>
      <c r="F24" s="621">
        <f>'Mem. Calc.'!E57</f>
        <v>4044.58</v>
      </c>
      <c r="G24" s="587">
        <v>1.22</v>
      </c>
      <c r="H24" s="587">
        <f t="shared" ref="H24:H35" si="7">TRUNC(F24*G24,2)</f>
        <v>4934.38</v>
      </c>
      <c r="I24" s="587">
        <f t="shared" ref="I24:I35" si="8">TRUNC(G24+G24*$K$6,2)</f>
        <v>1.53</v>
      </c>
      <c r="J24" s="621">
        <f t="shared" ref="J24:J35" si="9">TRUNC(F24*I24,2)</f>
        <v>6188.2</v>
      </c>
      <c r="K24" s="1159"/>
    </row>
    <row r="25" spans="1:11" ht="45" x14ac:dyDescent="0.2">
      <c r="A25" s="585" t="s">
        <v>171</v>
      </c>
      <c r="B25" s="589" t="s">
        <v>585</v>
      </c>
      <c r="C25" s="589"/>
      <c r="D25" s="588" t="s">
        <v>586</v>
      </c>
      <c r="E25" s="558" t="s">
        <v>31</v>
      </c>
      <c r="F25" s="621">
        <f>'Mem. Calc.'!E58</f>
        <v>1587.82</v>
      </c>
      <c r="G25" s="587">
        <v>2.96</v>
      </c>
      <c r="H25" s="587">
        <f t="shared" si="7"/>
        <v>4699.9399999999996</v>
      </c>
      <c r="I25" s="587">
        <f t="shared" si="8"/>
        <v>3.73</v>
      </c>
      <c r="J25" s="621">
        <f t="shared" si="9"/>
        <v>5922.56</v>
      </c>
      <c r="K25" s="1159"/>
    </row>
    <row r="26" spans="1:11" ht="30" x14ac:dyDescent="0.2">
      <c r="A26" s="585" t="s">
        <v>172</v>
      </c>
      <c r="B26" s="607">
        <f>B21</f>
        <v>72839</v>
      </c>
      <c r="C26" s="607"/>
      <c r="D26" s="623" t="s">
        <v>584</v>
      </c>
      <c r="E26" s="624" t="s">
        <v>271</v>
      </c>
      <c r="F26" s="621">
        <f>'Mem. Calc.'!E59</f>
        <v>68949.5</v>
      </c>
      <c r="G26" s="610">
        <f>G21</f>
        <v>0.72</v>
      </c>
      <c r="H26" s="587">
        <f t="shared" si="7"/>
        <v>49643.64</v>
      </c>
      <c r="I26" s="587">
        <f t="shared" si="8"/>
        <v>0.9</v>
      </c>
      <c r="J26" s="621">
        <f t="shared" si="9"/>
        <v>62054.55</v>
      </c>
      <c r="K26" s="1159"/>
    </row>
    <row r="27" spans="1:11" ht="30" x14ac:dyDescent="0.2">
      <c r="A27" s="585" t="s">
        <v>173</v>
      </c>
      <c r="B27" s="607">
        <v>72840</v>
      </c>
      <c r="C27" s="607"/>
      <c r="D27" s="623" t="s">
        <v>609</v>
      </c>
      <c r="E27" s="624" t="s">
        <v>271</v>
      </c>
      <c r="F27" s="621">
        <f>'Mem. Calc.'!E60</f>
        <v>52588.6</v>
      </c>
      <c r="G27" s="610">
        <v>0.6</v>
      </c>
      <c r="H27" s="587">
        <f t="shared" ref="H27" si="10">TRUNC(F27*G27,2)</f>
        <v>31553.16</v>
      </c>
      <c r="I27" s="587">
        <f t="shared" ref="I27" si="11">TRUNC(G27+G27*$K$6,2)</f>
        <v>0.75</v>
      </c>
      <c r="J27" s="621">
        <f t="shared" ref="J27" si="12">TRUNC(F27*I27,2)</f>
        <v>39441.449999999997</v>
      </c>
      <c r="K27" s="1159"/>
    </row>
    <row r="28" spans="1:11" ht="45" x14ac:dyDescent="0.2">
      <c r="A28" s="585" t="s">
        <v>404</v>
      </c>
      <c r="B28" s="607">
        <v>96387</v>
      </c>
      <c r="C28" s="607"/>
      <c r="D28" s="623" t="s">
        <v>610</v>
      </c>
      <c r="E28" s="558" t="s">
        <v>31</v>
      </c>
      <c r="F28" s="625">
        <f>'Mem. Calc.'!E61</f>
        <v>808.92</v>
      </c>
      <c r="G28" s="610">
        <v>6.17</v>
      </c>
      <c r="H28" s="610">
        <f t="shared" si="7"/>
        <v>4991.03</v>
      </c>
      <c r="I28" s="587">
        <f t="shared" si="8"/>
        <v>7.77</v>
      </c>
      <c r="J28" s="625">
        <f>TRUNC(F28*I28,2)</f>
        <v>6285.3</v>
      </c>
      <c r="K28" s="1159"/>
    </row>
    <row r="29" spans="1:11" ht="45" x14ac:dyDescent="0.2">
      <c r="A29" s="585" t="s">
        <v>481</v>
      </c>
      <c r="B29" s="607">
        <f>B28</f>
        <v>96387</v>
      </c>
      <c r="C29" s="607"/>
      <c r="D29" s="623" t="s">
        <v>611</v>
      </c>
      <c r="E29" s="558" t="s">
        <v>31</v>
      </c>
      <c r="F29" s="625">
        <f>'Mem. Calc.'!E62</f>
        <v>778.9</v>
      </c>
      <c r="G29" s="610">
        <f>G28</f>
        <v>6.17</v>
      </c>
      <c r="H29" s="610">
        <f t="shared" si="7"/>
        <v>4805.8100000000004</v>
      </c>
      <c r="I29" s="587">
        <f t="shared" si="8"/>
        <v>7.77</v>
      </c>
      <c r="J29" s="625">
        <f>TRUNC(F29*I29,2)</f>
        <v>6052.05</v>
      </c>
      <c r="K29" s="1159"/>
    </row>
    <row r="30" spans="1:11" ht="15" customHeight="1" x14ac:dyDescent="0.2">
      <c r="A30" s="585" t="s">
        <v>482</v>
      </c>
      <c r="B30" s="1162" t="s">
        <v>423</v>
      </c>
      <c r="C30" s="1163"/>
      <c r="D30" s="623" t="s">
        <v>533</v>
      </c>
      <c r="E30" s="622" t="s">
        <v>6</v>
      </c>
      <c r="F30" s="625">
        <f>'Mem. Calc.'!E63</f>
        <v>3632.82</v>
      </c>
      <c r="G30" s="610">
        <f>'Compo. Capa'!F70</f>
        <v>6.85</v>
      </c>
      <c r="H30" s="610">
        <f t="shared" si="7"/>
        <v>24884.81</v>
      </c>
      <c r="I30" s="587">
        <f t="shared" si="8"/>
        <v>8.6300000000000008</v>
      </c>
      <c r="J30" s="625">
        <f t="shared" si="9"/>
        <v>31351.23</v>
      </c>
      <c r="K30" s="1159"/>
    </row>
    <row r="31" spans="1:11" x14ac:dyDescent="0.2">
      <c r="A31" s="585" t="s">
        <v>483</v>
      </c>
      <c r="B31" s="1162" t="s">
        <v>423</v>
      </c>
      <c r="C31" s="1163"/>
      <c r="D31" s="623" t="s">
        <v>208</v>
      </c>
      <c r="E31" s="622" t="s">
        <v>6</v>
      </c>
      <c r="F31" s="625">
        <f>'Mem. Calc.'!E64</f>
        <v>3632.82</v>
      </c>
      <c r="G31" s="610">
        <f>'Compo. Capa'!F31</f>
        <v>11.67</v>
      </c>
      <c r="H31" s="610">
        <f t="shared" si="7"/>
        <v>42395</v>
      </c>
      <c r="I31" s="587">
        <f t="shared" si="8"/>
        <v>14.7</v>
      </c>
      <c r="J31" s="625">
        <f t="shared" si="9"/>
        <v>53402.45</v>
      </c>
      <c r="K31" s="1159"/>
    </row>
    <row r="32" spans="1:11" ht="60" x14ac:dyDescent="0.2">
      <c r="A32" s="585" t="s">
        <v>484</v>
      </c>
      <c r="B32" s="1162" t="s">
        <v>423</v>
      </c>
      <c r="C32" s="1163"/>
      <c r="D32" s="623" t="s">
        <v>534</v>
      </c>
      <c r="E32" s="622" t="s">
        <v>6</v>
      </c>
      <c r="F32" s="625">
        <f>'Mem. Calc.'!E65</f>
        <v>3632.82</v>
      </c>
      <c r="G32" s="610">
        <f>'Compo. Capa'!F51</f>
        <v>4.01</v>
      </c>
      <c r="H32" s="610">
        <f t="shared" si="7"/>
        <v>14567.6</v>
      </c>
      <c r="I32" s="587">
        <f t="shared" si="8"/>
        <v>5.05</v>
      </c>
      <c r="J32" s="625">
        <f t="shared" si="9"/>
        <v>18345.740000000002</v>
      </c>
      <c r="K32" s="1159"/>
    </row>
    <row r="33" spans="1:14" ht="60" x14ac:dyDescent="0.2">
      <c r="A33" s="585" t="s">
        <v>485</v>
      </c>
      <c r="B33" s="607">
        <v>93176</v>
      </c>
      <c r="C33" s="607"/>
      <c r="D33" s="623" t="s">
        <v>531</v>
      </c>
      <c r="E33" s="624" t="s">
        <v>271</v>
      </c>
      <c r="F33" s="625">
        <f>'Mem. Calc.'!E66</f>
        <v>1952.16</v>
      </c>
      <c r="G33" s="610">
        <v>0.47</v>
      </c>
      <c r="H33" s="610">
        <f t="shared" si="7"/>
        <v>917.51</v>
      </c>
      <c r="I33" s="587">
        <f t="shared" si="8"/>
        <v>0.59</v>
      </c>
      <c r="J33" s="625">
        <f>TRUNC(F33*I33,2)</f>
        <v>1151.77</v>
      </c>
      <c r="K33" s="1159"/>
    </row>
    <row r="34" spans="1:14" ht="60" x14ac:dyDescent="0.2">
      <c r="A34" s="585" t="s">
        <v>486</v>
      </c>
      <c r="B34" s="607">
        <v>93179</v>
      </c>
      <c r="C34" s="607"/>
      <c r="D34" s="623" t="s">
        <v>530</v>
      </c>
      <c r="E34" s="624" t="s">
        <v>271</v>
      </c>
      <c r="F34" s="625">
        <f>'Mem. Calc.'!E67</f>
        <v>418.32</v>
      </c>
      <c r="G34" s="610">
        <v>1.85</v>
      </c>
      <c r="H34" s="610">
        <f t="shared" ref="H34" si="13">TRUNC(F34*G34,2)</f>
        <v>773.89</v>
      </c>
      <c r="I34" s="587">
        <f t="shared" ref="I34" si="14">TRUNC(G34+G34*$K$6,2)</f>
        <v>2.33</v>
      </c>
      <c r="J34" s="625">
        <f>TRUNC(F34*I34,2)</f>
        <v>974.68</v>
      </c>
      <c r="K34" s="1159"/>
    </row>
    <row r="35" spans="1:14" ht="45" x14ac:dyDescent="0.2">
      <c r="A35" s="585" t="s">
        <v>487</v>
      </c>
      <c r="B35" s="607">
        <f>B27</f>
        <v>72840</v>
      </c>
      <c r="C35" s="607"/>
      <c r="D35" s="623" t="s">
        <v>583</v>
      </c>
      <c r="E35" s="624" t="s">
        <v>271</v>
      </c>
      <c r="F35" s="625">
        <f>'Mem. Calc.'!E68</f>
        <v>5678.4</v>
      </c>
      <c r="G35" s="610">
        <v>0.6</v>
      </c>
      <c r="H35" s="610">
        <f t="shared" si="7"/>
        <v>3407.04</v>
      </c>
      <c r="I35" s="587">
        <f t="shared" si="8"/>
        <v>0.75</v>
      </c>
      <c r="J35" s="625">
        <f t="shared" si="9"/>
        <v>4258.8</v>
      </c>
      <c r="K35" s="1159"/>
    </row>
    <row r="36" spans="1:14" ht="45" x14ac:dyDescent="0.2">
      <c r="A36" s="585" t="s">
        <v>543</v>
      </c>
      <c r="B36" s="607">
        <v>72839</v>
      </c>
      <c r="C36" s="607"/>
      <c r="D36" s="623" t="s">
        <v>612</v>
      </c>
      <c r="E36" s="624" t="s">
        <v>271</v>
      </c>
      <c r="F36" s="625">
        <f>'Mem. Calc.'!E69</f>
        <v>3893.76</v>
      </c>
      <c r="G36" s="610">
        <v>0.72</v>
      </c>
      <c r="H36" s="610">
        <f t="shared" ref="H36" si="15">TRUNC(F36*G36,2)</f>
        <v>2803.5</v>
      </c>
      <c r="I36" s="587">
        <f t="shared" ref="I36" si="16">TRUNC(G36+G36*$K$6,2)</f>
        <v>0.9</v>
      </c>
      <c r="J36" s="625">
        <f t="shared" ref="J36" si="17">TRUNC(F36*I36,2)</f>
        <v>3504.38</v>
      </c>
      <c r="K36" s="1159"/>
    </row>
    <row r="37" spans="1:14" x14ac:dyDescent="0.2">
      <c r="A37" s="590"/>
      <c r="B37" s="599"/>
      <c r="C37" s="599"/>
      <c r="D37" s="600" t="s">
        <v>7</v>
      </c>
      <c r="E37" s="599"/>
      <c r="F37" s="602"/>
      <c r="G37" s="601"/>
      <c r="H37" s="594"/>
      <c r="I37" s="594"/>
      <c r="J37" s="602">
        <f>SUM(J24:J36)</f>
        <v>238933.16</v>
      </c>
      <c r="K37" s="1159"/>
    </row>
    <row r="38" spans="1:14" x14ac:dyDescent="0.2">
      <c r="A38" s="590" t="s">
        <v>27</v>
      </c>
      <c r="B38" s="591"/>
      <c r="C38" s="591"/>
      <c r="D38" s="612" t="s">
        <v>489</v>
      </c>
      <c r="E38" s="599"/>
      <c r="F38" s="600"/>
      <c r="G38" s="601"/>
      <c r="H38" s="594"/>
      <c r="I38" s="594"/>
      <c r="J38" s="619"/>
      <c r="K38" s="1159"/>
    </row>
    <row r="39" spans="1:14" ht="60" x14ac:dyDescent="0.2">
      <c r="A39" s="585" t="s">
        <v>39</v>
      </c>
      <c r="B39" s="589">
        <v>94267</v>
      </c>
      <c r="C39" s="589"/>
      <c r="D39" s="611" t="s">
        <v>515</v>
      </c>
      <c r="E39" s="589" t="s">
        <v>5</v>
      </c>
      <c r="F39" s="604">
        <f>'Mem. Calc.'!E71</f>
        <v>951.06</v>
      </c>
      <c r="G39" s="587">
        <v>37.18</v>
      </c>
      <c r="H39" s="587">
        <f t="shared" ref="H39:H40" si="18">TRUNC(F39*G39,2)</f>
        <v>35360.410000000003</v>
      </c>
      <c r="I39" s="587">
        <f t="shared" ref="I39:I40" si="19">TRUNC(G39+G39*$K$6,2)</f>
        <v>46.85</v>
      </c>
      <c r="J39" s="604">
        <f t="shared" ref="J39:J40" si="20">TRUNC(F39*I39,2)</f>
        <v>44557.16</v>
      </c>
      <c r="K39" s="1159"/>
      <c r="N39" s="427"/>
    </row>
    <row r="40" spans="1:14" ht="45" x14ac:dyDescent="0.2">
      <c r="A40" s="585" t="s">
        <v>174</v>
      </c>
      <c r="B40" s="589">
        <v>94990</v>
      </c>
      <c r="C40" s="589"/>
      <c r="D40" s="611" t="s">
        <v>516</v>
      </c>
      <c r="E40" s="589" t="s">
        <v>31</v>
      </c>
      <c r="F40" s="604">
        <f>'Mem. Calc.'!E72</f>
        <v>79.89</v>
      </c>
      <c r="G40" s="587">
        <v>540.77</v>
      </c>
      <c r="H40" s="587">
        <f t="shared" si="18"/>
        <v>43202.11</v>
      </c>
      <c r="I40" s="587">
        <f t="shared" si="19"/>
        <v>681.47</v>
      </c>
      <c r="J40" s="604">
        <f t="shared" si="20"/>
        <v>54442.63</v>
      </c>
      <c r="K40" s="1159"/>
      <c r="N40" s="427"/>
    </row>
    <row r="41" spans="1:14" x14ac:dyDescent="0.2">
      <c r="A41" s="627"/>
      <c r="B41" s="591"/>
      <c r="C41" s="591"/>
      <c r="D41" s="600" t="s">
        <v>7</v>
      </c>
      <c r="E41" s="599"/>
      <c r="F41" s="602"/>
      <c r="G41" s="601"/>
      <c r="H41" s="594"/>
      <c r="I41" s="594"/>
      <c r="J41" s="602">
        <f>+SUM(J39:J40)</f>
        <v>98999.79</v>
      </c>
      <c r="K41" s="1159"/>
      <c r="N41" s="427"/>
    </row>
    <row r="42" spans="1:14" x14ac:dyDescent="0.2">
      <c r="A42" s="590" t="s">
        <v>28</v>
      </c>
      <c r="B42" s="591"/>
      <c r="C42" s="591"/>
      <c r="D42" s="618" t="s">
        <v>142</v>
      </c>
      <c r="E42" s="618"/>
      <c r="F42" s="618"/>
      <c r="G42" s="594"/>
      <c r="H42" s="594"/>
      <c r="I42" s="594"/>
      <c r="J42" s="619"/>
      <c r="K42" s="1159"/>
      <c r="N42" s="427"/>
    </row>
    <row r="43" spans="1:14" ht="30" x14ac:dyDescent="0.2">
      <c r="A43" s="606" t="s">
        <v>40</v>
      </c>
      <c r="B43" s="589" t="s">
        <v>423</v>
      </c>
      <c r="C43" s="589"/>
      <c r="D43" s="608" t="s">
        <v>338</v>
      </c>
      <c r="E43" s="607" t="s">
        <v>6</v>
      </c>
      <c r="F43" s="633">
        <f>'Mem. Calc.'!E77</f>
        <v>1.42</v>
      </c>
      <c r="G43" s="634">
        <f>'Compo. Capa'!F115</f>
        <v>988.35</v>
      </c>
      <c r="H43" s="635">
        <f t="shared" ref="H43:H44" si="21">TRUNC(F43*G43,2)</f>
        <v>1403.45</v>
      </c>
      <c r="I43" s="587">
        <f t="shared" ref="I43:I48" si="22">TRUNC(G43+G43*$K$6,2)</f>
        <v>1245.51</v>
      </c>
      <c r="J43" s="609">
        <f t="shared" ref="J43" si="23">TRUNC(F43*I43,2)</f>
        <v>1768.62</v>
      </c>
      <c r="K43" s="1159"/>
      <c r="N43" s="427"/>
    </row>
    <row r="44" spans="1:14" ht="30" x14ac:dyDescent="0.2">
      <c r="A44" s="606" t="s">
        <v>175</v>
      </c>
      <c r="B44" s="589" t="s">
        <v>423</v>
      </c>
      <c r="C44" s="589"/>
      <c r="D44" s="608" t="s">
        <v>49</v>
      </c>
      <c r="E44" s="607" t="s">
        <v>6</v>
      </c>
      <c r="F44" s="633">
        <f>'Mem. Calc.'!E78</f>
        <v>0.4</v>
      </c>
      <c r="G44" s="634">
        <f>G43</f>
        <v>988.35</v>
      </c>
      <c r="H44" s="635">
        <f t="shared" si="21"/>
        <v>395.34</v>
      </c>
      <c r="I44" s="587">
        <f t="shared" si="22"/>
        <v>1245.51</v>
      </c>
      <c r="J44" s="609">
        <f>TRUNC(F44*I44,2)</f>
        <v>498.2</v>
      </c>
      <c r="K44" s="1159"/>
    </row>
    <row r="45" spans="1:14" ht="30" x14ac:dyDescent="0.2">
      <c r="A45" s="606" t="s">
        <v>176</v>
      </c>
      <c r="B45" s="589" t="s">
        <v>423</v>
      </c>
      <c r="C45" s="589"/>
      <c r="D45" s="608" t="s">
        <v>339</v>
      </c>
      <c r="E45" s="607" t="s">
        <v>82</v>
      </c>
      <c r="F45" s="633">
        <f>'Mem. Calc.'!E79</f>
        <v>6</v>
      </c>
      <c r="G45" s="634">
        <f>'Compo. Capa'!F103</f>
        <v>88.76</v>
      </c>
      <c r="H45" s="635">
        <f>TRUNC(F45*G45,2)</f>
        <v>532.55999999999995</v>
      </c>
      <c r="I45" s="587">
        <f t="shared" si="22"/>
        <v>111.85</v>
      </c>
      <c r="J45" s="609">
        <f>TRUNC(F45*I45,2)</f>
        <v>671.1</v>
      </c>
      <c r="K45" s="1159"/>
      <c r="N45" s="316"/>
    </row>
    <row r="46" spans="1:14" ht="30" x14ac:dyDescent="0.2">
      <c r="A46" s="606" t="s">
        <v>177</v>
      </c>
      <c r="B46" s="589" t="s">
        <v>423</v>
      </c>
      <c r="C46" s="589"/>
      <c r="D46" s="608" t="s">
        <v>51</v>
      </c>
      <c r="E46" s="607" t="s">
        <v>82</v>
      </c>
      <c r="F46" s="633">
        <f>'Mem. Calc.'!E80</f>
        <v>2</v>
      </c>
      <c r="G46" s="634">
        <f>G45</f>
        <v>88.76</v>
      </c>
      <c r="H46" s="635">
        <f>TRUNC(F46*G46,2)</f>
        <v>177.52</v>
      </c>
      <c r="I46" s="587">
        <f t="shared" si="22"/>
        <v>111.85</v>
      </c>
      <c r="J46" s="609">
        <f>TRUNC(F46*I46,2)</f>
        <v>223.7</v>
      </c>
      <c r="K46" s="1159"/>
    </row>
    <row r="47" spans="1:14" ht="30" x14ac:dyDescent="0.2">
      <c r="A47" s="606" t="s">
        <v>178</v>
      </c>
      <c r="B47" s="589">
        <v>72947</v>
      </c>
      <c r="C47" s="589"/>
      <c r="D47" s="608" t="s">
        <v>587</v>
      </c>
      <c r="E47" s="607" t="s">
        <v>6</v>
      </c>
      <c r="F47" s="633">
        <f>'Mem. Calc.'!E81</f>
        <v>235.46</v>
      </c>
      <c r="G47" s="634">
        <v>25.02</v>
      </c>
      <c r="H47" s="635">
        <f>TRUNC(F47*G47,2)</f>
        <v>5891.2</v>
      </c>
      <c r="I47" s="587">
        <f t="shared" si="22"/>
        <v>31.53</v>
      </c>
      <c r="J47" s="609">
        <f>TRUNC(F47*I47,2)</f>
        <v>7424.05</v>
      </c>
      <c r="K47" s="1159"/>
    </row>
    <row r="48" spans="1:14" x14ac:dyDescent="0.2">
      <c r="A48" s="606" t="s">
        <v>307</v>
      </c>
      <c r="B48" s="1162" t="s">
        <v>423</v>
      </c>
      <c r="C48" s="1163"/>
      <c r="D48" s="608" t="s">
        <v>451</v>
      </c>
      <c r="E48" s="607" t="s">
        <v>82</v>
      </c>
      <c r="F48" s="633">
        <f>'Mem. Calc.'!E82</f>
        <v>258.3</v>
      </c>
      <c r="G48" s="634">
        <f>'Compo. Capa'!F82</f>
        <v>113.8</v>
      </c>
      <c r="H48" s="635">
        <f>TRUNC(F48*G48,2)</f>
        <v>29394.54</v>
      </c>
      <c r="I48" s="587">
        <f t="shared" si="22"/>
        <v>143.41</v>
      </c>
      <c r="J48" s="609">
        <f>TRUNC(F48*I48,2)</f>
        <v>37042.800000000003</v>
      </c>
      <c r="K48" s="1159"/>
    </row>
    <row r="49" spans="1:15" x14ac:dyDescent="0.2">
      <c r="A49" s="590"/>
      <c r="B49" s="591"/>
      <c r="C49" s="591"/>
      <c r="D49" s="600" t="s">
        <v>7</v>
      </c>
      <c r="E49" s="599"/>
      <c r="F49" s="602"/>
      <c r="G49" s="601"/>
      <c r="H49" s="594"/>
      <c r="I49" s="594"/>
      <c r="J49" s="602">
        <f>SUM(J43:J48)</f>
        <v>47628.47</v>
      </c>
      <c r="K49" s="1159"/>
    </row>
    <row r="50" spans="1:15" ht="38.25" customHeight="1" thickBot="1" x14ac:dyDescent="0.25">
      <c r="A50" s="1160" t="s">
        <v>168</v>
      </c>
      <c r="B50" s="1161"/>
      <c r="C50" s="1161"/>
      <c r="D50" s="1161"/>
      <c r="E50" s="1161"/>
      <c r="F50" s="1161"/>
      <c r="G50" s="1161"/>
      <c r="H50" s="1161"/>
      <c r="I50" s="1161"/>
      <c r="J50" s="636">
        <f>SUM(J10:J49)/2</f>
        <v>415995.37</v>
      </c>
      <c r="K50" s="637">
        <f>K17+K14+K10</f>
        <v>1</v>
      </c>
      <c r="M50" s="11">
        <v>951394.63</v>
      </c>
    </row>
    <row r="51" spans="1:15" ht="129" customHeight="1" x14ac:dyDescent="0.2"/>
    <row r="52" spans="1:15" ht="18.75" x14ac:dyDescent="0.2">
      <c r="B52" s="318" t="str">
        <f>Terrap.!B16</f>
        <v xml:space="preserve">  </v>
      </c>
      <c r="I52" s="787" t="s">
        <v>538</v>
      </c>
      <c r="J52" s="789">
        <v>307007.90999999997</v>
      </c>
    </row>
    <row r="53" spans="1:15" x14ac:dyDescent="0.2">
      <c r="A53" s="11"/>
      <c r="B53" s="317" t="str">
        <f>Terrap.!B17</f>
        <v xml:space="preserve">   </v>
      </c>
      <c r="C53" s="11"/>
      <c r="I53" s="787" t="s">
        <v>544</v>
      </c>
      <c r="J53" s="788">
        <f>J50-J52</f>
        <v>108987.46</v>
      </c>
      <c r="M53" s="319"/>
      <c r="N53" s="316" t="e">
        <f>J50/F18</f>
        <v>#DIV/0!</v>
      </c>
    </row>
    <row r="54" spans="1:15" x14ac:dyDescent="0.2">
      <c r="A54" s="11"/>
      <c r="B54" s="11"/>
      <c r="C54" s="11"/>
      <c r="M54" s="319"/>
      <c r="O54" s="316"/>
    </row>
    <row r="55" spans="1:15" x14ac:dyDescent="0.2">
      <c r="A55" s="11"/>
      <c r="B55" s="11"/>
      <c r="C55" s="11"/>
      <c r="M55" s="316"/>
    </row>
    <row r="56" spans="1:15" x14ac:dyDescent="0.2">
      <c r="A56" s="11"/>
      <c r="B56" s="11"/>
      <c r="C56" s="11"/>
    </row>
    <row r="57" spans="1:15" x14ac:dyDescent="0.2">
      <c r="A57" s="11"/>
      <c r="B57" s="11"/>
      <c r="C57" s="11"/>
    </row>
    <row r="58" spans="1:15" x14ac:dyDescent="0.2">
      <c r="A58" s="11"/>
      <c r="B58" s="11"/>
      <c r="C58" s="11"/>
      <c r="K58" s="549" t="s">
        <v>474</v>
      </c>
      <c r="M58" s="427">
        <v>247000</v>
      </c>
    </row>
    <row r="59" spans="1:15" x14ac:dyDescent="0.2">
      <c r="A59" s="11"/>
      <c r="B59" s="11"/>
      <c r="C59" s="11"/>
      <c r="K59" s="549" t="s">
        <v>473</v>
      </c>
      <c r="M59" s="427"/>
    </row>
    <row r="60" spans="1:15" x14ac:dyDescent="0.2">
      <c r="A60" s="11"/>
      <c r="B60" s="11"/>
      <c r="C60" s="11"/>
      <c r="K60" s="549" t="s">
        <v>406</v>
      </c>
      <c r="M60" s="704">
        <f>SUM(M58:M59)</f>
        <v>247000</v>
      </c>
    </row>
    <row r="61" spans="1:15" x14ac:dyDescent="0.2">
      <c r="A61" s="11"/>
      <c r="B61" s="11"/>
      <c r="C61" s="11"/>
      <c r="M61" s="316">
        <f>M60-J50</f>
        <v>-168995.37</v>
      </c>
    </row>
  </sheetData>
  <mergeCells count="22">
    <mergeCell ref="K17:K49"/>
    <mergeCell ref="B4:G4"/>
    <mergeCell ref="A50:I50"/>
    <mergeCell ref="B30:C30"/>
    <mergeCell ref="B31:C31"/>
    <mergeCell ref="B32:C32"/>
    <mergeCell ref="B48:C48"/>
    <mergeCell ref="M8:O8"/>
    <mergeCell ref="K14:K15"/>
    <mergeCell ref="J3:K5"/>
    <mergeCell ref="H3:I5"/>
    <mergeCell ref="B3:G3"/>
    <mergeCell ref="B5:G5"/>
    <mergeCell ref="B6:E6"/>
    <mergeCell ref="K10:K12"/>
    <mergeCell ref="A1:C2"/>
    <mergeCell ref="M5:O6"/>
    <mergeCell ref="F6:G6"/>
    <mergeCell ref="H6:I6"/>
    <mergeCell ref="A7:K7"/>
    <mergeCell ref="D1:K1"/>
    <mergeCell ref="D2:K2"/>
  </mergeCells>
  <phoneticPr fontId="0" type="noConversion"/>
  <pageMargins left="0.19685039370078741" right="0.19685039370078741" top="0.78740157480314965" bottom="0.39370078740157483" header="0.31496062992125984" footer="0.31496062992125984"/>
  <pageSetup paperSize="9" scale="74" fitToHeight="0" orientation="landscape" r:id="rId1"/>
  <headerFooter alignWithMargins="0"/>
  <rowBreaks count="3" manualBreakCount="3">
    <brk id="15" max="10" man="1"/>
    <brk id="29" max="10" man="1"/>
    <brk id="39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5"/>
  <sheetViews>
    <sheetView view="pageBreakPreview" topLeftCell="A10" zoomScale="115" zoomScaleSheetLayoutView="115" workbookViewId="0">
      <selection activeCell="G20" sqref="G20"/>
    </sheetView>
  </sheetViews>
  <sheetFormatPr defaultRowHeight="12.75" x14ac:dyDescent="0.2"/>
  <cols>
    <col min="1" max="1" width="10" style="1" customWidth="1"/>
    <col min="2" max="2" width="48.7109375" style="1" customWidth="1"/>
    <col min="3" max="3" width="34.140625" style="1" customWidth="1"/>
    <col min="4" max="4" width="12.5703125" style="1" customWidth="1"/>
    <col min="5" max="5" width="16.5703125" style="1" customWidth="1"/>
    <col min="6" max="6" width="15.7109375" style="1" customWidth="1"/>
    <col min="7" max="7" width="13.85546875" style="1" customWidth="1"/>
    <col min="8" max="8" width="9.28515625" style="1" bestFit="1" customWidth="1"/>
    <col min="9" max="16384" width="9.140625" style="1"/>
  </cols>
  <sheetData>
    <row r="1" spans="1:6" ht="48" customHeight="1" x14ac:dyDescent="0.2">
      <c r="A1" s="1062"/>
      <c r="B1" s="1063"/>
      <c r="C1" s="1131" t="str">
        <f>Terrap.!C1</f>
        <v>ESTADO DE MATO GROSSO</v>
      </c>
      <c r="D1" s="1131"/>
      <c r="E1" s="1131"/>
      <c r="F1" s="1132"/>
    </row>
    <row r="2" spans="1:6" ht="48" customHeight="1" x14ac:dyDescent="0.2">
      <c r="A2" s="1064"/>
      <c r="B2" s="1065"/>
      <c r="C2" s="1133" t="str">
        <f>Terrap.!C2</f>
        <v>PREFEITURA MUNICIPAL DE JACIARA</v>
      </c>
      <c r="D2" s="1133"/>
      <c r="E2" s="1133"/>
      <c r="F2" s="1134"/>
    </row>
    <row r="3" spans="1:6" s="463" customFormat="1" ht="15" x14ac:dyDescent="0.2">
      <c r="A3" s="458" t="s">
        <v>8</v>
      </c>
      <c r="B3" s="484" t="str">
        <f>Terrap.!B3</f>
        <v>PAVIMENTAÇÃO ASFALTICA EM TSD</v>
      </c>
      <c r="C3" s="484"/>
      <c r="D3" s="1130" t="str">
        <f>Terrap.!H6</f>
        <v>TABELA:</v>
      </c>
      <c r="E3" s="1130"/>
      <c r="F3" s="314" t="str">
        <f>Terrap.!E6</f>
        <v>BDI:</v>
      </c>
    </row>
    <row r="4" spans="1:6" s="463" customFormat="1" ht="15" x14ac:dyDescent="0.2">
      <c r="A4" s="458" t="s">
        <v>22</v>
      </c>
      <c r="B4" s="484" t="str">
        <f>Terrap.!B4</f>
        <v>DIVERSAS RUAS - DISTRITO DE CELMA</v>
      </c>
      <c r="C4" s="559" t="s">
        <v>455</v>
      </c>
      <c r="D4" s="880" t="str">
        <f>Terrap.!I4</f>
        <v>SINAPI - JANEIRO / 2019                                                                             ANP 12/2018 (com desoneração)</v>
      </c>
      <c r="E4" s="880"/>
      <c r="F4" s="1141">
        <f>Terrap.!F6</f>
        <v>0.26019999999999999</v>
      </c>
    </row>
    <row r="5" spans="1:6" s="463" customFormat="1" ht="15" x14ac:dyDescent="0.2">
      <c r="A5" s="459" t="s">
        <v>59</v>
      </c>
      <c r="B5" s="484" t="str">
        <f>Terrap.!B5</f>
        <v>PREFEITURA MUNICIPAL DE JACIARA</v>
      </c>
      <c r="C5" s="1143" t="str">
        <f>Terrap.!F5</f>
        <v>FEVEREIRO 2019</v>
      </c>
      <c r="D5" s="880"/>
      <c r="E5" s="880"/>
      <c r="F5" s="1141"/>
    </row>
    <row r="6" spans="1:6" s="463" customFormat="1" ht="15.75" thickBot="1" x14ac:dyDescent="0.25">
      <c r="A6" s="460" t="s">
        <v>43</v>
      </c>
      <c r="B6" s="485">
        <f>Terrap.!C14</f>
        <v>4044.58</v>
      </c>
      <c r="C6" s="1144"/>
      <c r="D6" s="882"/>
      <c r="E6" s="882"/>
      <c r="F6" s="1142"/>
    </row>
    <row r="7" spans="1:6" ht="25.5" customHeight="1" thickBot="1" x14ac:dyDescent="0.25">
      <c r="A7" s="1136" t="s">
        <v>19</v>
      </c>
      <c r="B7" s="1137"/>
      <c r="C7" s="1137"/>
      <c r="D7" s="1137"/>
      <c r="E7" s="1168"/>
      <c r="F7" s="1138"/>
    </row>
    <row r="8" spans="1:6" ht="19.5" customHeight="1" x14ac:dyDescent="0.2">
      <c r="A8" s="707" t="s">
        <v>0</v>
      </c>
      <c r="B8" s="1167" t="s">
        <v>20</v>
      </c>
      <c r="C8" s="1167"/>
      <c r="D8" s="1167"/>
      <c r="E8" s="708" t="s">
        <v>21</v>
      </c>
      <c r="F8" s="709" t="s">
        <v>15</v>
      </c>
    </row>
    <row r="9" spans="1:6" ht="19.5" customHeight="1" x14ac:dyDescent="0.2">
      <c r="A9" s="710"/>
      <c r="B9" s="1165"/>
      <c r="C9" s="1165"/>
      <c r="D9" s="1165"/>
      <c r="E9" s="711"/>
      <c r="F9" s="712"/>
    </row>
    <row r="10" spans="1:6" ht="19.5" customHeight="1" x14ac:dyDescent="0.2">
      <c r="A10" s="544">
        <v>1</v>
      </c>
      <c r="B10" s="1166" t="str">
        <f>Orçam.!D9</f>
        <v>SERVIÇOS PRELIMINARES</v>
      </c>
      <c r="C10" s="1166"/>
      <c r="D10" s="1166"/>
      <c r="E10" s="713">
        <f>Orçam.!J12</f>
        <v>7372.39</v>
      </c>
      <c r="F10" s="714">
        <f>E10/E$20</f>
        <v>1.77E-2</v>
      </c>
    </row>
    <row r="11" spans="1:6" ht="19.5" customHeight="1" x14ac:dyDescent="0.2">
      <c r="A11" s="715"/>
      <c r="B11" s="1165"/>
      <c r="C11" s="1165"/>
      <c r="D11" s="1165"/>
      <c r="E11" s="711"/>
      <c r="F11" s="714"/>
    </row>
    <row r="12" spans="1:6" ht="19.5" customHeight="1" x14ac:dyDescent="0.2">
      <c r="A12" s="544">
        <v>2</v>
      </c>
      <c r="B12" s="1166" t="str">
        <f>Orçam.!D13</f>
        <v>ADMINISTRAÇÃO LOCAL</v>
      </c>
      <c r="C12" s="1166"/>
      <c r="D12" s="1166"/>
      <c r="E12" s="713">
        <f>Orçam.!J15</f>
        <v>17437.990000000002</v>
      </c>
      <c r="F12" s="714">
        <f>E12/E$20</f>
        <v>4.19E-2</v>
      </c>
    </row>
    <row r="13" spans="1:6" ht="19.5" customHeight="1" x14ac:dyDescent="0.2">
      <c r="A13" s="715"/>
      <c r="B13" s="1165"/>
      <c r="C13" s="1165"/>
      <c r="D13" s="1165"/>
      <c r="E13" s="711"/>
      <c r="F13" s="714"/>
    </row>
    <row r="14" spans="1:6" ht="19.5" customHeight="1" x14ac:dyDescent="0.2">
      <c r="A14" s="544">
        <f>Orçam.!$A$16</f>
        <v>3</v>
      </c>
      <c r="B14" s="1166" t="str">
        <f>Orçam.!D16</f>
        <v>PAVIMENTAÇÃO EM TSD</v>
      </c>
      <c r="C14" s="1166"/>
      <c r="D14" s="1166"/>
      <c r="E14" s="711"/>
      <c r="F14" s="714"/>
    </row>
    <row r="15" spans="1:6" ht="19.5" customHeight="1" x14ac:dyDescent="0.2">
      <c r="A15" s="716" t="str">
        <f>Orçam.!$A$17</f>
        <v>3.1</v>
      </c>
      <c r="B15" s="1165" t="str">
        <f>Orçam.!D17</f>
        <v>TERRAPLENAGEM</v>
      </c>
      <c r="C15" s="1165"/>
      <c r="D15" s="1165"/>
      <c r="E15" s="718">
        <f>Orçam.!J22</f>
        <v>5623.57</v>
      </c>
      <c r="F15" s="714">
        <f>E15/E$20</f>
        <v>1.35E-2</v>
      </c>
    </row>
    <row r="16" spans="1:6" ht="19.5" customHeight="1" x14ac:dyDescent="0.2">
      <c r="A16" s="716" t="str">
        <f>Orçam.!$A$23</f>
        <v>3.2</v>
      </c>
      <c r="B16" s="1165" t="str">
        <f>Orçam.!D23</f>
        <v>PAVIMENTAÇÃO</v>
      </c>
      <c r="C16" s="1165"/>
      <c r="D16" s="1165"/>
      <c r="E16" s="717">
        <f>Orçam.!J37</f>
        <v>238933.16</v>
      </c>
      <c r="F16" s="714">
        <f>E16/E$20</f>
        <v>0.57440000000000002</v>
      </c>
    </row>
    <row r="17" spans="1:8" ht="19.5" customHeight="1" x14ac:dyDescent="0.2">
      <c r="A17" s="716" t="str">
        <f>Orçam.!$A$38</f>
        <v>3.3</v>
      </c>
      <c r="B17" s="1165" t="str">
        <f>Orçam.!D38</f>
        <v>OBRAS COMPLEMENTARES</v>
      </c>
      <c r="C17" s="1165"/>
      <c r="D17" s="1165"/>
      <c r="E17" s="718">
        <f>Orçam.!J41</f>
        <v>98999.79</v>
      </c>
      <c r="F17" s="714">
        <f>E17/E$20</f>
        <v>0.23799999999999999</v>
      </c>
    </row>
    <row r="18" spans="1:8" ht="19.5" customHeight="1" x14ac:dyDescent="0.2">
      <c r="A18" s="716" t="str">
        <f>Orçam.!$A$42</f>
        <v>3.4</v>
      </c>
      <c r="B18" s="1165" t="str">
        <f>Orçam.!D42</f>
        <v>SINALIZAÇÃO VIÁRIA</v>
      </c>
      <c r="C18" s="1165"/>
      <c r="D18" s="1165"/>
      <c r="E18" s="718">
        <f>Orçam.!J49</f>
        <v>47628.47</v>
      </c>
      <c r="F18" s="714">
        <f>E18/E$20</f>
        <v>0.1145</v>
      </c>
    </row>
    <row r="19" spans="1:8" ht="19.5" customHeight="1" x14ac:dyDescent="0.2">
      <c r="A19" s="715"/>
      <c r="B19" s="1165"/>
      <c r="C19" s="1165"/>
      <c r="D19" s="1165"/>
      <c r="E19" s="717"/>
      <c r="F19" s="714"/>
    </row>
    <row r="20" spans="1:8" ht="27" customHeight="1" thickBot="1" x14ac:dyDescent="0.25">
      <c r="A20" s="719"/>
      <c r="B20" s="1164" t="s">
        <v>13</v>
      </c>
      <c r="C20" s="1164"/>
      <c r="D20" s="1164"/>
      <c r="E20" s="720">
        <f>SUM(E10:E19)</f>
        <v>415995.37</v>
      </c>
      <c r="F20" s="721">
        <f>SUM(F10:F19)</f>
        <v>1</v>
      </c>
    </row>
    <row r="21" spans="1:8" x14ac:dyDescent="0.2">
      <c r="A21" s="22"/>
      <c r="F21" s="705"/>
      <c r="H21" s="208"/>
    </row>
    <row r="22" spans="1:8" x14ac:dyDescent="0.2">
      <c r="A22" s="22"/>
      <c r="E22" s="425"/>
      <c r="F22" s="705"/>
    </row>
    <row r="23" spans="1:8" ht="14.25" x14ac:dyDescent="0.2">
      <c r="A23" s="22"/>
      <c r="C23" s="305"/>
      <c r="D23" s="305"/>
      <c r="F23" s="705"/>
    </row>
    <row r="24" spans="1:8" x14ac:dyDescent="0.2">
      <c r="A24" s="22"/>
      <c r="C24" s="706"/>
      <c r="D24" s="706"/>
      <c r="F24" s="705"/>
    </row>
    <row r="25" spans="1:8" ht="39" customHeight="1" x14ac:dyDescent="0.2">
      <c r="A25" s="22"/>
      <c r="F25" s="705"/>
    </row>
    <row r="26" spans="1:8" ht="14.25" x14ac:dyDescent="0.2">
      <c r="A26" s="22"/>
      <c r="B26" s="305" t="str">
        <f>Terrap.!B16</f>
        <v xml:space="preserve">  </v>
      </c>
      <c r="F26" s="705"/>
    </row>
    <row r="27" spans="1:8" x14ac:dyDescent="0.2">
      <c r="A27" s="22"/>
      <c r="B27" s="706" t="str">
        <f>Terrap.!B17</f>
        <v xml:space="preserve">   </v>
      </c>
      <c r="F27" s="705"/>
    </row>
    <row r="28" spans="1:8" x14ac:dyDescent="0.2">
      <c r="A28" s="22"/>
      <c r="F28" s="705"/>
    </row>
    <row r="29" spans="1:8" x14ac:dyDescent="0.2">
      <c r="A29" s="22"/>
      <c r="F29" s="705"/>
    </row>
    <row r="30" spans="1:8" x14ac:dyDescent="0.2">
      <c r="A30" s="22"/>
      <c r="F30" s="705"/>
    </row>
    <row r="31" spans="1:8" x14ac:dyDescent="0.2">
      <c r="A31" s="22"/>
      <c r="F31" s="705"/>
    </row>
    <row r="32" spans="1:8" x14ac:dyDescent="0.2">
      <c r="F32" s="705"/>
    </row>
    <row r="33" spans="6:6" x14ac:dyDescent="0.2">
      <c r="F33" s="705"/>
    </row>
    <row r="34" spans="6:6" x14ac:dyDescent="0.2">
      <c r="F34" s="705"/>
    </row>
    <row r="35" spans="6:6" x14ac:dyDescent="0.2">
      <c r="F35" s="705"/>
    </row>
    <row r="36" spans="6:6" x14ac:dyDescent="0.2">
      <c r="F36" s="705"/>
    </row>
    <row r="37" spans="6:6" x14ac:dyDescent="0.2">
      <c r="F37" s="705"/>
    </row>
    <row r="38" spans="6:6" x14ac:dyDescent="0.2">
      <c r="F38" s="705"/>
    </row>
    <row r="39" spans="6:6" x14ac:dyDescent="0.2">
      <c r="F39" s="705"/>
    </row>
    <row r="40" spans="6:6" x14ac:dyDescent="0.2">
      <c r="F40" s="705"/>
    </row>
    <row r="41" spans="6:6" x14ac:dyDescent="0.2">
      <c r="F41" s="705"/>
    </row>
    <row r="42" spans="6:6" x14ac:dyDescent="0.2">
      <c r="F42" s="705"/>
    </row>
    <row r="43" spans="6:6" x14ac:dyDescent="0.2">
      <c r="F43" s="705"/>
    </row>
    <row r="44" spans="6:6" x14ac:dyDescent="0.2">
      <c r="F44" s="705"/>
    </row>
    <row r="45" spans="6:6" x14ac:dyDescent="0.2">
      <c r="F45" s="705"/>
    </row>
    <row r="46" spans="6:6" x14ac:dyDescent="0.2">
      <c r="F46" s="705"/>
    </row>
    <row r="47" spans="6:6" x14ac:dyDescent="0.2">
      <c r="F47" s="705"/>
    </row>
    <row r="48" spans="6:6" x14ac:dyDescent="0.2">
      <c r="F48" s="705"/>
    </row>
    <row r="49" spans="6:6" x14ac:dyDescent="0.2">
      <c r="F49" s="705"/>
    </row>
    <row r="50" spans="6:6" x14ac:dyDescent="0.2">
      <c r="F50" s="705"/>
    </row>
    <row r="51" spans="6:6" x14ac:dyDescent="0.2">
      <c r="F51" s="705"/>
    </row>
    <row r="52" spans="6:6" x14ac:dyDescent="0.2">
      <c r="F52" s="705"/>
    </row>
    <row r="53" spans="6:6" x14ac:dyDescent="0.2">
      <c r="F53" s="705"/>
    </row>
    <row r="54" spans="6:6" x14ac:dyDescent="0.2">
      <c r="F54" s="705"/>
    </row>
    <row r="55" spans="6:6" x14ac:dyDescent="0.2">
      <c r="F55" s="705"/>
    </row>
    <row r="56" spans="6:6" x14ac:dyDescent="0.2">
      <c r="F56" s="705"/>
    </row>
    <row r="57" spans="6:6" x14ac:dyDescent="0.2">
      <c r="F57" s="705"/>
    </row>
    <row r="58" spans="6:6" x14ac:dyDescent="0.2">
      <c r="F58" s="705"/>
    </row>
    <row r="59" spans="6:6" x14ac:dyDescent="0.2">
      <c r="F59" s="705"/>
    </row>
    <row r="60" spans="6:6" x14ac:dyDescent="0.2">
      <c r="F60" s="705"/>
    </row>
    <row r="61" spans="6:6" x14ac:dyDescent="0.2">
      <c r="F61" s="705"/>
    </row>
    <row r="62" spans="6:6" x14ac:dyDescent="0.2">
      <c r="F62" s="705"/>
    </row>
    <row r="63" spans="6:6" x14ac:dyDescent="0.2">
      <c r="F63" s="705"/>
    </row>
    <row r="64" spans="6:6" x14ac:dyDescent="0.2">
      <c r="F64" s="705"/>
    </row>
    <row r="65" spans="6:6" x14ac:dyDescent="0.2">
      <c r="F65" s="705"/>
    </row>
    <row r="66" spans="6:6" x14ac:dyDescent="0.2">
      <c r="F66" s="705"/>
    </row>
    <row r="67" spans="6:6" x14ac:dyDescent="0.2">
      <c r="F67" s="705"/>
    </row>
    <row r="68" spans="6:6" x14ac:dyDescent="0.2">
      <c r="F68" s="705"/>
    </row>
    <row r="69" spans="6:6" x14ac:dyDescent="0.2">
      <c r="F69" s="705"/>
    </row>
    <row r="70" spans="6:6" x14ac:dyDescent="0.2">
      <c r="F70" s="705"/>
    </row>
    <row r="71" spans="6:6" x14ac:dyDescent="0.2">
      <c r="F71" s="705"/>
    </row>
    <row r="72" spans="6:6" x14ac:dyDescent="0.2">
      <c r="F72" s="705"/>
    </row>
    <row r="73" spans="6:6" x14ac:dyDescent="0.2">
      <c r="F73" s="705"/>
    </row>
    <row r="74" spans="6:6" x14ac:dyDescent="0.2">
      <c r="F74" s="705"/>
    </row>
    <row r="75" spans="6:6" x14ac:dyDescent="0.2">
      <c r="F75" s="705"/>
    </row>
  </sheetData>
  <mergeCells count="21">
    <mergeCell ref="C1:F1"/>
    <mergeCell ref="C2:F2"/>
    <mergeCell ref="A1:B2"/>
    <mergeCell ref="B8:D8"/>
    <mergeCell ref="B10:D10"/>
    <mergeCell ref="F4:F6"/>
    <mergeCell ref="A7:F7"/>
    <mergeCell ref="D4:E6"/>
    <mergeCell ref="D3:E3"/>
    <mergeCell ref="C5:C6"/>
    <mergeCell ref="B9:D9"/>
    <mergeCell ref="B20:D20"/>
    <mergeCell ref="B18:D18"/>
    <mergeCell ref="B13:D13"/>
    <mergeCell ref="B11:D11"/>
    <mergeCell ref="B19:D19"/>
    <mergeCell ref="B14:D14"/>
    <mergeCell ref="B15:D15"/>
    <mergeCell ref="B16:D16"/>
    <mergeCell ref="B17:D17"/>
    <mergeCell ref="B12:D12"/>
  </mergeCells>
  <pageMargins left="0.19685039370078741" right="0.31496062992125984" top="0.78740157480314965" bottom="0.78740157480314965" header="0.31496062992125984" footer="0.31496062992125984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8"/>
  <sheetViews>
    <sheetView view="pageBreakPreview" topLeftCell="A7" zoomScale="70" zoomScaleSheetLayoutView="70" workbookViewId="0">
      <selection activeCell="Q26" sqref="Q26"/>
    </sheetView>
  </sheetViews>
  <sheetFormatPr defaultRowHeight="12.75" x14ac:dyDescent="0.2"/>
  <cols>
    <col min="1" max="1" width="12.42578125" style="1" customWidth="1"/>
    <col min="2" max="2" width="68.140625" style="1" customWidth="1"/>
    <col min="3" max="3" width="15.140625" style="1" bestFit="1" customWidth="1"/>
    <col min="4" max="4" width="9.28515625" style="1" bestFit="1" customWidth="1"/>
    <col min="5" max="5" width="12.140625" style="1" customWidth="1"/>
    <col min="6" max="6" width="9.7109375" style="1" customWidth="1"/>
    <col min="7" max="7" width="12.140625" style="1" customWidth="1"/>
    <col min="8" max="8" width="9.7109375" style="1" customWidth="1"/>
    <col min="9" max="9" width="13.42578125" style="1" bestFit="1" customWidth="1"/>
    <col min="10" max="10" width="9.7109375" style="1" customWidth="1"/>
    <col min="11" max="11" width="13.42578125" style="1" bestFit="1" customWidth="1"/>
    <col min="12" max="12" width="9.7109375" style="1" customWidth="1"/>
    <col min="13" max="13" width="13.42578125" style="1" bestFit="1" customWidth="1"/>
    <col min="14" max="14" width="9.7109375" style="1" customWidth="1"/>
    <col min="15" max="15" width="13.42578125" style="1" bestFit="1" customWidth="1"/>
    <col min="16" max="16" width="9.7109375" style="1" customWidth="1"/>
    <col min="17" max="17" width="13.42578125" style="1" bestFit="1" customWidth="1"/>
    <col min="18" max="18" width="9.7109375" style="1" customWidth="1"/>
    <col min="19" max="19" width="9.140625" style="1"/>
    <col min="20" max="20" width="9.28515625" style="1" bestFit="1" customWidth="1"/>
    <col min="21" max="16384" width="9.140625" style="1"/>
  </cols>
  <sheetData>
    <row r="1" spans="1:20" ht="48" customHeight="1" x14ac:dyDescent="0.2">
      <c r="A1" s="1062"/>
      <c r="B1" s="1063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2"/>
    </row>
    <row r="2" spans="1:20" ht="48" customHeight="1" x14ac:dyDescent="0.2">
      <c r="A2" s="1064"/>
      <c r="B2" s="1065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5"/>
    </row>
    <row r="3" spans="1:20" ht="24.75" customHeight="1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80" t="str">
        <f>Terrap.!I4</f>
        <v>SINAPI - JANEIRO / 2019                                                                             ANP 12/2018 (com desoneração)</v>
      </c>
      <c r="Q3" s="880"/>
      <c r="R3" s="881"/>
    </row>
    <row r="4" spans="1:20" ht="24.75" customHeight="1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80"/>
      <c r="Q4" s="880"/>
      <c r="R4" s="881"/>
    </row>
    <row r="5" spans="1:20" ht="24.75" customHeight="1" x14ac:dyDescent="0.2">
      <c r="A5" s="459" t="s">
        <v>59</v>
      </c>
      <c r="B5" s="876" t="str">
        <f>Terrap.!B5</f>
        <v>PREFEITURA MUNICIPAL DE JACIARA</v>
      </c>
      <c r="C5" s="876"/>
      <c r="D5" s="876"/>
      <c r="E5" s="876"/>
      <c r="F5" s="876"/>
      <c r="G5" s="876"/>
      <c r="H5" s="876"/>
      <c r="I5" s="876"/>
      <c r="J5" s="876"/>
      <c r="K5" s="876"/>
      <c r="L5" s="464" t="s">
        <v>455</v>
      </c>
      <c r="M5" s="878" t="str">
        <f>Terrap.!F5</f>
        <v>FEVEREIRO 2019</v>
      </c>
      <c r="N5" s="878"/>
      <c r="O5" s="878"/>
      <c r="P5" s="880"/>
      <c r="Q5" s="880"/>
      <c r="R5" s="881"/>
    </row>
    <row r="6" spans="1:20" ht="24.75" customHeight="1" thickBot="1" x14ac:dyDescent="0.25">
      <c r="A6" s="465" t="s">
        <v>60</v>
      </c>
      <c r="B6" s="879">
        <f>Pavim.!B6</f>
        <v>3632.82</v>
      </c>
      <c r="C6" s="879"/>
      <c r="D6" s="879"/>
      <c r="E6" s="879"/>
      <c r="F6" s="879"/>
      <c r="G6" s="879"/>
      <c r="H6" s="879"/>
      <c r="I6" s="879"/>
      <c r="J6" s="879"/>
      <c r="K6" s="879"/>
      <c r="L6" s="466" t="s">
        <v>61</v>
      </c>
      <c r="M6" s="554">
        <f>Terrap.!F6</f>
        <v>0.26019999999999999</v>
      </c>
      <c r="N6" s="996" t="s">
        <v>62</v>
      </c>
      <c r="O6" s="996"/>
      <c r="P6" s="882"/>
      <c r="Q6" s="882"/>
      <c r="R6" s="883"/>
    </row>
    <row r="7" spans="1:20" ht="33" customHeight="1" thickBot="1" x14ac:dyDescent="0.25">
      <c r="A7" s="1173" t="s">
        <v>9</v>
      </c>
      <c r="B7" s="1174"/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5"/>
    </row>
    <row r="8" spans="1:20" x14ac:dyDescent="0.2">
      <c r="A8" s="1176" t="s">
        <v>0</v>
      </c>
      <c r="B8" s="1179" t="s">
        <v>10</v>
      </c>
      <c r="C8" s="1179" t="s">
        <v>11</v>
      </c>
      <c r="D8" s="1179"/>
      <c r="E8" s="1179" t="s">
        <v>12</v>
      </c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82"/>
    </row>
    <row r="9" spans="1:20" x14ac:dyDescent="0.2">
      <c r="A9" s="1177"/>
      <c r="B9" s="1180"/>
      <c r="C9" s="1180"/>
      <c r="D9" s="1180"/>
      <c r="E9" s="1183" t="s">
        <v>304</v>
      </c>
      <c r="F9" s="1183"/>
      <c r="G9" s="1183" t="s">
        <v>299</v>
      </c>
      <c r="H9" s="1183"/>
      <c r="I9" s="1183" t="s">
        <v>305</v>
      </c>
      <c r="J9" s="1183"/>
      <c r="K9" s="1183" t="s">
        <v>300</v>
      </c>
      <c r="L9" s="1183"/>
      <c r="M9" s="1183" t="s">
        <v>306</v>
      </c>
      <c r="N9" s="1183"/>
      <c r="O9" s="1183" t="s">
        <v>310</v>
      </c>
      <c r="P9" s="1183"/>
      <c r="Q9" s="1183" t="s">
        <v>13</v>
      </c>
      <c r="R9" s="1184"/>
    </row>
    <row r="10" spans="1:20" x14ac:dyDescent="0.2">
      <c r="A10" s="1178"/>
      <c r="B10" s="1181"/>
      <c r="C10" s="722" t="s">
        <v>14</v>
      </c>
      <c r="D10" s="723" t="s">
        <v>15</v>
      </c>
      <c r="E10" s="722" t="s">
        <v>14</v>
      </c>
      <c r="F10" s="723" t="s">
        <v>15</v>
      </c>
      <c r="G10" s="724" t="s">
        <v>16</v>
      </c>
      <c r="H10" s="725" t="s">
        <v>15</v>
      </c>
      <c r="I10" s="724" t="s">
        <v>16</v>
      </c>
      <c r="J10" s="725" t="s">
        <v>15</v>
      </c>
      <c r="K10" s="724" t="s">
        <v>16</v>
      </c>
      <c r="L10" s="725" t="s">
        <v>15</v>
      </c>
      <c r="M10" s="724" t="s">
        <v>16</v>
      </c>
      <c r="N10" s="725" t="s">
        <v>15</v>
      </c>
      <c r="O10" s="724" t="s">
        <v>16</v>
      </c>
      <c r="P10" s="725" t="s">
        <v>15</v>
      </c>
      <c r="Q10" s="724" t="s">
        <v>16</v>
      </c>
      <c r="R10" s="726" t="s">
        <v>15</v>
      </c>
    </row>
    <row r="11" spans="1:20" s="383" customFormat="1" x14ac:dyDescent="0.2">
      <c r="A11" s="544"/>
      <c r="B11" s="727"/>
      <c r="C11" s="728"/>
      <c r="D11" s="729"/>
      <c r="E11" s="730"/>
      <c r="F11" s="545"/>
      <c r="G11" s="730"/>
      <c r="H11" s="731"/>
      <c r="I11" s="730"/>
      <c r="J11" s="545"/>
      <c r="K11" s="730"/>
      <c r="L11" s="545"/>
      <c r="M11" s="730"/>
      <c r="N11" s="545"/>
      <c r="O11" s="730"/>
      <c r="P11" s="545"/>
      <c r="Q11" s="730"/>
      <c r="R11" s="732"/>
      <c r="T11" s="416"/>
    </row>
    <row r="12" spans="1:20" s="383" customFormat="1" ht="23.25" customHeight="1" x14ac:dyDescent="0.2">
      <c r="A12" s="544">
        <f>Resumo!A10</f>
        <v>1</v>
      </c>
      <c r="B12" s="727" t="str">
        <f>Resumo!B10</f>
        <v>SERVIÇOS PRELIMINARES</v>
      </c>
      <c r="C12" s="728">
        <f>Resumo!E10</f>
        <v>7372.39</v>
      </c>
      <c r="D12" s="729">
        <f>Resumo!F10</f>
        <v>1.77E-2</v>
      </c>
      <c r="E12" s="733">
        <f t="shared" ref="E12" si="0">$C12*F12/100</f>
        <v>7372.39</v>
      </c>
      <c r="F12" s="734">
        <v>100</v>
      </c>
      <c r="G12" s="730"/>
      <c r="H12" s="731"/>
      <c r="I12" s="730"/>
      <c r="J12" s="545"/>
      <c r="K12" s="730"/>
      <c r="L12" s="545"/>
      <c r="M12" s="730"/>
      <c r="N12" s="545"/>
      <c r="O12" s="730"/>
      <c r="P12" s="545"/>
      <c r="Q12" s="733">
        <f t="shared" ref="Q12" si="1">E12+G12+I12+K12+M12+O12</f>
        <v>7372.39</v>
      </c>
      <c r="R12" s="732">
        <f>F12+H12+J12+L12+N12+P12</f>
        <v>100</v>
      </c>
    </row>
    <row r="13" spans="1:20" s="37" customFormat="1" ht="23.25" customHeight="1" x14ac:dyDescent="0.2">
      <c r="A13" s="544"/>
      <c r="B13" s="727"/>
      <c r="C13" s="728"/>
      <c r="D13" s="729"/>
      <c r="E13" s="733"/>
      <c r="F13" s="734"/>
      <c r="G13" s="733"/>
      <c r="H13" s="735"/>
      <c r="I13" s="733"/>
      <c r="J13" s="734"/>
      <c r="K13" s="733"/>
      <c r="L13" s="734"/>
      <c r="M13" s="733"/>
      <c r="N13" s="734"/>
      <c r="O13" s="733"/>
      <c r="P13" s="734"/>
      <c r="Q13" s="733"/>
      <c r="R13" s="732"/>
      <c r="T13" s="416">
        <f t="shared" ref="T13:T19" si="2">C13-Q13</f>
        <v>0</v>
      </c>
    </row>
    <row r="14" spans="1:20" s="383" customFormat="1" ht="23.25" customHeight="1" x14ac:dyDescent="0.2">
      <c r="A14" s="544">
        <f>Resumo!A12</f>
        <v>2</v>
      </c>
      <c r="B14" s="727" t="str">
        <f>Resumo!B12</f>
        <v>ADMINISTRAÇÃO LOCAL</v>
      </c>
      <c r="C14" s="728">
        <f>Resumo!E12</f>
        <v>17437.990000000002</v>
      </c>
      <c r="D14" s="729">
        <f>Resumo!F12</f>
        <v>4.19E-2</v>
      </c>
      <c r="E14" s="733">
        <f t="shared" ref="E14" si="3">$C14*F14/100</f>
        <v>523.14</v>
      </c>
      <c r="F14" s="734">
        <v>3</v>
      </c>
      <c r="G14" s="733">
        <f t="shared" ref="G14" si="4">$C14*H14/100</f>
        <v>348.76</v>
      </c>
      <c r="H14" s="734">
        <v>2</v>
      </c>
      <c r="I14" s="733">
        <f t="shared" ref="I14" si="5">$C14*J14/100</f>
        <v>3138.84</v>
      </c>
      <c r="J14" s="734">
        <v>18</v>
      </c>
      <c r="K14" s="733">
        <f t="shared" ref="K14" si="6">$C14*L14/100</f>
        <v>5231.3999999999996</v>
      </c>
      <c r="L14" s="734">
        <v>30</v>
      </c>
      <c r="M14" s="733">
        <f t="shared" ref="M14" si="7">$C14*N14/100</f>
        <v>5580.16</v>
      </c>
      <c r="N14" s="734">
        <v>32</v>
      </c>
      <c r="O14" s="733">
        <f>$C14*P14/100-0.01</f>
        <v>2615.69</v>
      </c>
      <c r="P14" s="734">
        <v>15</v>
      </c>
      <c r="Q14" s="733">
        <f t="shared" ref="Q14" si="8">E14+G14+I14+K14+M14+O14</f>
        <v>17437.990000000002</v>
      </c>
      <c r="R14" s="732">
        <f>F14+H14+J14+L14+N14+P14</f>
        <v>100</v>
      </c>
      <c r="T14" s="416">
        <f t="shared" si="2"/>
        <v>0</v>
      </c>
    </row>
    <row r="15" spans="1:20" s="37" customFormat="1" ht="23.25" customHeight="1" x14ac:dyDescent="0.2">
      <c r="A15" s="716"/>
      <c r="B15" s="736"/>
      <c r="C15" s="728"/>
      <c r="D15" s="729"/>
      <c r="E15" s="733"/>
      <c r="F15" s="734"/>
      <c r="G15" s="733"/>
      <c r="H15" s="735"/>
      <c r="I15" s="733"/>
      <c r="J15" s="734"/>
      <c r="K15" s="733"/>
      <c r="L15" s="734"/>
      <c r="M15" s="733"/>
      <c r="N15" s="734"/>
      <c r="O15" s="733"/>
      <c r="P15" s="734"/>
      <c r="Q15" s="733"/>
      <c r="R15" s="732"/>
      <c r="T15" s="416">
        <f>C15-Q15</f>
        <v>0</v>
      </c>
    </row>
    <row r="16" spans="1:20" s="383" customFormat="1" ht="23.25" customHeight="1" x14ac:dyDescent="0.2">
      <c r="A16" s="544">
        <f>Resumo!A14</f>
        <v>3</v>
      </c>
      <c r="B16" s="727" t="str">
        <f>Resumo!B14</f>
        <v>PAVIMENTAÇÃO EM TSD</v>
      </c>
      <c r="C16" s="728"/>
      <c r="D16" s="729"/>
      <c r="E16" s="730"/>
      <c r="F16" s="545"/>
      <c r="G16" s="730"/>
      <c r="H16" s="731"/>
      <c r="I16" s="730"/>
      <c r="J16" s="545"/>
      <c r="K16" s="730"/>
      <c r="L16" s="545"/>
      <c r="M16" s="730"/>
      <c r="N16" s="545"/>
      <c r="O16" s="730"/>
      <c r="P16" s="545"/>
      <c r="Q16" s="730"/>
      <c r="R16" s="732"/>
      <c r="T16" s="416">
        <f t="shared" si="2"/>
        <v>0</v>
      </c>
    </row>
    <row r="17" spans="1:20" s="462" customFormat="1" ht="23.25" customHeight="1" x14ac:dyDescent="0.2">
      <c r="A17" s="737" t="str">
        <f>Resumo!A15</f>
        <v>3.1</v>
      </c>
      <c r="B17" s="739" t="str">
        <f>Resumo!B15</f>
        <v>TERRAPLENAGEM</v>
      </c>
      <c r="C17" s="728">
        <f>Resumo!E15</f>
        <v>5623.57</v>
      </c>
      <c r="D17" s="729">
        <f>Resumo!F15</f>
        <v>1.35E-2</v>
      </c>
      <c r="E17" s="733">
        <f t="shared" ref="E17:E20" si="9">$C17*F17/100</f>
        <v>562.36</v>
      </c>
      <c r="F17" s="734">
        <v>10</v>
      </c>
      <c r="G17" s="733">
        <f t="shared" ref="G17:G20" si="10">$C17*H17/100</f>
        <v>1687.07</v>
      </c>
      <c r="H17" s="734">
        <v>30</v>
      </c>
      <c r="I17" s="733">
        <f t="shared" ref="I17:I20" si="11">$C17*J17/100</f>
        <v>2530.61</v>
      </c>
      <c r="J17" s="734">
        <v>45</v>
      </c>
      <c r="K17" s="733">
        <f>$C17*L17/100+0.01</f>
        <v>843.55</v>
      </c>
      <c r="L17" s="734">
        <v>15</v>
      </c>
      <c r="M17" s="733">
        <f t="shared" ref="M17:M20" si="12">$C17*N17/100</f>
        <v>0</v>
      </c>
      <c r="N17" s="734"/>
      <c r="O17" s="733">
        <f t="shared" ref="O17:O20" si="13">$C17*P17/100</f>
        <v>0</v>
      </c>
      <c r="P17" s="738"/>
      <c r="Q17" s="733">
        <f t="shared" ref="Q17:Q20" si="14">E17+G17+I17+K17+M17+O17</f>
        <v>5623.59</v>
      </c>
      <c r="R17" s="732">
        <f t="shared" ref="R17:R20" si="15">F17+H17+J17+L17+N17+P17</f>
        <v>100</v>
      </c>
      <c r="T17" s="490">
        <f t="shared" si="2"/>
        <v>-0.02</v>
      </c>
    </row>
    <row r="18" spans="1:20" s="462" customFormat="1" ht="23.25" customHeight="1" x14ac:dyDescent="0.2">
      <c r="A18" s="737" t="str">
        <f>Resumo!A16</f>
        <v>3.2</v>
      </c>
      <c r="B18" s="739" t="str">
        <f>Resumo!B16</f>
        <v>PAVIMENTAÇÃO</v>
      </c>
      <c r="C18" s="728">
        <f>Resumo!E16</f>
        <v>238933.16</v>
      </c>
      <c r="D18" s="729">
        <f>Resumo!F16</f>
        <v>0.57440000000000002</v>
      </c>
      <c r="E18" s="733">
        <f t="shared" si="9"/>
        <v>0</v>
      </c>
      <c r="F18" s="734"/>
      <c r="G18" s="733">
        <f t="shared" si="10"/>
        <v>0</v>
      </c>
      <c r="H18" s="734"/>
      <c r="I18" s="733">
        <f t="shared" si="11"/>
        <v>71679.95</v>
      </c>
      <c r="J18" s="734">
        <v>30</v>
      </c>
      <c r="K18" s="733">
        <f t="shared" ref="K18:K20" si="16">$C18*L18/100</f>
        <v>119466.58</v>
      </c>
      <c r="L18" s="734">
        <v>50</v>
      </c>
      <c r="M18" s="733">
        <f t="shared" si="12"/>
        <v>47786.63</v>
      </c>
      <c r="N18" s="734">
        <v>20</v>
      </c>
      <c r="O18" s="733">
        <f t="shared" si="13"/>
        <v>0</v>
      </c>
      <c r="P18" s="738"/>
      <c r="Q18" s="733">
        <f t="shared" si="14"/>
        <v>238933.16</v>
      </c>
      <c r="R18" s="732">
        <f t="shared" si="15"/>
        <v>100</v>
      </c>
      <c r="T18" s="490">
        <f t="shared" si="2"/>
        <v>0</v>
      </c>
    </row>
    <row r="19" spans="1:20" s="462" customFormat="1" ht="23.25" customHeight="1" x14ac:dyDescent="0.2">
      <c r="A19" s="737" t="str">
        <f>Resumo!A17</f>
        <v>3.3</v>
      </c>
      <c r="B19" s="739" t="str">
        <f>Resumo!B17</f>
        <v>OBRAS COMPLEMENTARES</v>
      </c>
      <c r="C19" s="728">
        <f>Resumo!E17</f>
        <v>98999.79</v>
      </c>
      <c r="D19" s="729">
        <f>Resumo!F17</f>
        <v>0.23799999999999999</v>
      </c>
      <c r="E19" s="733">
        <f t="shared" si="9"/>
        <v>0</v>
      </c>
      <c r="F19" s="734"/>
      <c r="G19" s="733">
        <f t="shared" si="10"/>
        <v>0</v>
      </c>
      <c r="H19" s="734"/>
      <c r="I19" s="733">
        <f t="shared" si="11"/>
        <v>0</v>
      </c>
      <c r="J19" s="734"/>
      <c r="K19" s="733">
        <f t="shared" si="16"/>
        <v>9899.98</v>
      </c>
      <c r="L19" s="734">
        <v>10</v>
      </c>
      <c r="M19" s="733">
        <f t="shared" si="12"/>
        <v>59399.87</v>
      </c>
      <c r="N19" s="734">
        <v>60</v>
      </c>
      <c r="O19" s="733">
        <f t="shared" si="13"/>
        <v>29699.94</v>
      </c>
      <c r="P19" s="738">
        <v>30</v>
      </c>
      <c r="Q19" s="733">
        <f t="shared" si="14"/>
        <v>98999.79</v>
      </c>
      <c r="R19" s="732">
        <f t="shared" si="15"/>
        <v>100</v>
      </c>
      <c r="T19" s="490">
        <f t="shared" si="2"/>
        <v>0</v>
      </c>
    </row>
    <row r="20" spans="1:20" s="462" customFormat="1" ht="23.25" customHeight="1" x14ac:dyDescent="0.2">
      <c r="A20" s="737" t="str">
        <f>Resumo!A18</f>
        <v>3.4</v>
      </c>
      <c r="B20" s="739" t="str">
        <f>Resumo!B18</f>
        <v>SINALIZAÇÃO VIÁRIA</v>
      </c>
      <c r="C20" s="728">
        <f>Resumo!E18</f>
        <v>47628.47</v>
      </c>
      <c r="D20" s="729">
        <f>Resumo!F18</f>
        <v>0.1145</v>
      </c>
      <c r="E20" s="733">
        <f t="shared" si="9"/>
        <v>0</v>
      </c>
      <c r="F20" s="734"/>
      <c r="G20" s="733">
        <f t="shared" si="10"/>
        <v>0</v>
      </c>
      <c r="H20" s="734"/>
      <c r="I20" s="733">
        <f t="shared" si="11"/>
        <v>0</v>
      </c>
      <c r="J20" s="734"/>
      <c r="K20" s="733">
        <f t="shared" si="16"/>
        <v>0</v>
      </c>
      <c r="L20" s="734"/>
      <c r="M20" s="733">
        <f t="shared" si="12"/>
        <v>0</v>
      </c>
      <c r="N20" s="734"/>
      <c r="O20" s="733">
        <f t="shared" si="13"/>
        <v>47628.47</v>
      </c>
      <c r="P20" s="738">
        <v>100</v>
      </c>
      <c r="Q20" s="733">
        <f t="shared" si="14"/>
        <v>47628.47</v>
      </c>
      <c r="R20" s="732">
        <f t="shared" si="15"/>
        <v>100</v>
      </c>
      <c r="T20" s="490">
        <f t="shared" ref="T20" si="17">C20-Q20</f>
        <v>0</v>
      </c>
    </row>
    <row r="21" spans="1:20" s="37" customFormat="1" ht="23.25" customHeight="1" x14ac:dyDescent="0.2">
      <c r="A21" s="716"/>
      <c r="B21" s="740"/>
      <c r="C21" s="733"/>
      <c r="D21" s="741"/>
      <c r="E21" s="733"/>
      <c r="F21" s="734"/>
      <c r="G21" s="733"/>
      <c r="H21" s="735"/>
      <c r="I21" s="733"/>
      <c r="J21" s="735"/>
      <c r="K21" s="733"/>
      <c r="L21" s="735"/>
      <c r="M21" s="733"/>
      <c r="N21" s="735"/>
      <c r="O21" s="733"/>
      <c r="P21" s="735"/>
      <c r="Q21" s="733"/>
      <c r="R21" s="732"/>
    </row>
    <row r="22" spans="1:20" s="37" customFormat="1" ht="29.25" customHeight="1" x14ac:dyDescent="0.2">
      <c r="A22" s="1169" t="s">
        <v>17</v>
      </c>
      <c r="B22" s="1170"/>
      <c r="C22" s="742">
        <f>SUM(C12:C20)</f>
        <v>415995.37</v>
      </c>
      <c r="D22" s="743">
        <f>SUM(D12:D20)</f>
        <v>1</v>
      </c>
      <c r="E22" s="744">
        <f>SUM(E12:E20)</f>
        <v>8457.89</v>
      </c>
      <c r="F22" s="745">
        <f>E22/$C$22</f>
        <v>0.02</v>
      </c>
      <c r="G22" s="744">
        <f>SUM(G12:G20)</f>
        <v>2035.83</v>
      </c>
      <c r="H22" s="745">
        <f>G22/$C$22</f>
        <v>0</v>
      </c>
      <c r="I22" s="744">
        <f>SUM(I12:I20)</f>
        <v>77349.399999999994</v>
      </c>
      <c r="J22" s="745">
        <f>I22/$C$22</f>
        <v>0.19</v>
      </c>
      <c r="K22" s="744">
        <f>SUM(K12:K20)</f>
        <v>135441.51</v>
      </c>
      <c r="L22" s="745">
        <f>K22/$C$22</f>
        <v>0.33</v>
      </c>
      <c r="M22" s="744">
        <f>SUM(M12:M20)</f>
        <v>112766.66</v>
      </c>
      <c r="N22" s="745">
        <f>M22/$C$22</f>
        <v>0.27</v>
      </c>
      <c r="O22" s="744">
        <f>SUM(O12:O20)</f>
        <v>79944.100000000006</v>
      </c>
      <c r="P22" s="745">
        <f>O22/$C$22</f>
        <v>0.19</v>
      </c>
      <c r="Q22" s="744">
        <f>SUM(Q12:Q20)</f>
        <v>415995.39</v>
      </c>
      <c r="R22" s="746">
        <f>Q22/$C$22</f>
        <v>1</v>
      </c>
    </row>
    <row r="23" spans="1:20" s="37" customFormat="1" ht="29.25" customHeight="1" thickBot="1" x14ac:dyDescent="0.25">
      <c r="A23" s="1171" t="s">
        <v>18</v>
      </c>
      <c r="B23" s="1172"/>
      <c r="C23" s="747"/>
      <c r="D23" s="748"/>
      <c r="E23" s="749">
        <f>SUM(E22)</f>
        <v>8457.89</v>
      </c>
      <c r="F23" s="750">
        <f>E23/C22</f>
        <v>0.02</v>
      </c>
      <c r="G23" s="749">
        <f t="shared" ref="G23:O23" si="18">E23+G22</f>
        <v>10493.72</v>
      </c>
      <c r="H23" s="750">
        <f t="shared" si="18"/>
        <v>0.02</v>
      </c>
      <c r="I23" s="749">
        <f t="shared" si="18"/>
        <v>87843.12</v>
      </c>
      <c r="J23" s="750">
        <f t="shared" si="18"/>
        <v>0.21</v>
      </c>
      <c r="K23" s="749">
        <f t="shared" si="18"/>
        <v>223284.63</v>
      </c>
      <c r="L23" s="750">
        <f t="shared" si="18"/>
        <v>0.54</v>
      </c>
      <c r="M23" s="749">
        <f t="shared" si="18"/>
        <v>336051.29</v>
      </c>
      <c r="N23" s="750">
        <f t="shared" si="18"/>
        <v>0.81</v>
      </c>
      <c r="O23" s="749">
        <f t="shared" si="18"/>
        <v>415995.39</v>
      </c>
      <c r="P23" s="750">
        <f>N23+P22</f>
        <v>1</v>
      </c>
      <c r="Q23" s="749"/>
      <c r="R23" s="751"/>
    </row>
    <row r="24" spans="1:20" ht="39" customHeight="1" x14ac:dyDescent="0.2"/>
    <row r="25" spans="1:20" x14ac:dyDescent="0.2">
      <c r="B25" s="354" t="str">
        <f>Terrap.!$B$16</f>
        <v xml:space="preserve">  </v>
      </c>
    </row>
    <row r="26" spans="1:20" x14ac:dyDescent="0.2">
      <c r="B26" s="356" t="str">
        <f>Terrap.!$B$17</f>
        <v xml:space="preserve">   </v>
      </c>
    </row>
    <row r="27" spans="1:20" x14ac:dyDescent="0.2">
      <c r="C27" s="425"/>
    </row>
    <row r="28" spans="1:20" x14ac:dyDescent="0.2">
      <c r="E28" s="548">
        <f>E22/C22</f>
        <v>0.02</v>
      </c>
      <c r="G28" s="548">
        <f>G22/C22</f>
        <v>0</v>
      </c>
      <c r="I28" s="548">
        <f>I22/C22</f>
        <v>0.19</v>
      </c>
      <c r="K28" s="548">
        <f>K22/C22</f>
        <v>0.33</v>
      </c>
      <c r="M28" s="548">
        <f>M22/C22</f>
        <v>0.27</v>
      </c>
    </row>
  </sheetData>
  <mergeCells count="24">
    <mergeCell ref="C1:R1"/>
    <mergeCell ref="C2:R2"/>
    <mergeCell ref="A1:B2"/>
    <mergeCell ref="B3:O3"/>
    <mergeCell ref="P3:R6"/>
    <mergeCell ref="B4:O4"/>
    <mergeCell ref="B5:K5"/>
    <mergeCell ref="M5:O5"/>
    <mergeCell ref="B6:K6"/>
    <mergeCell ref="N6:O6"/>
    <mergeCell ref="A22:B22"/>
    <mergeCell ref="A23:B23"/>
    <mergeCell ref="A7:R7"/>
    <mergeCell ref="A8:A10"/>
    <mergeCell ref="B8:B10"/>
    <mergeCell ref="C8:D9"/>
    <mergeCell ref="E8:R8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53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1"/>
  <sheetViews>
    <sheetView view="pageBreakPreview" topLeftCell="A58" zoomScaleSheetLayoutView="100" workbookViewId="0">
      <selection activeCell="E66" sqref="E66"/>
    </sheetView>
  </sheetViews>
  <sheetFormatPr defaultRowHeight="12.75" x14ac:dyDescent="0.2"/>
  <cols>
    <col min="1" max="1" width="12.42578125" style="1" customWidth="1"/>
    <col min="2" max="2" width="68.140625" style="1" customWidth="1"/>
    <col min="3" max="3" width="13" style="1" customWidth="1"/>
    <col min="4" max="4" width="8" style="1" bestFit="1" customWidth="1"/>
    <col min="5" max="15" width="12.140625" style="1" customWidth="1"/>
    <col min="16" max="16" width="7.28515625" style="1" customWidth="1"/>
    <col min="17" max="17" width="12.28515625" style="1" customWidth="1"/>
    <col min="18" max="18" width="7.140625" style="1" bestFit="1" customWidth="1"/>
    <col min="19" max="19" width="9.140625" style="1"/>
    <col min="20" max="20" width="9.28515625" style="1" bestFit="1" customWidth="1"/>
    <col min="21" max="16384" width="9.140625" style="1"/>
  </cols>
  <sheetData>
    <row r="1" spans="1:20" ht="22.5" customHeight="1" x14ac:dyDescent="0.2">
      <c r="A1" s="870" t="str">
        <f>Terrap.!C1</f>
        <v>ESTADO DE MATO GROSSO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2"/>
    </row>
    <row r="2" spans="1:20" ht="25.5" customHeight="1" x14ac:dyDescent="0.2">
      <c r="A2" s="873" t="str">
        <f>Terrap.!C2</f>
        <v>PREFEITURA MUNICIPAL DE JACIARA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5"/>
    </row>
    <row r="3" spans="1:20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1210" t="str">
        <f>Terrap.!I4</f>
        <v>SINAPI - JANEIRO / 2019                                                                             ANP 12/2018 (com desoneração)</v>
      </c>
      <c r="Q3" s="1211"/>
      <c r="R3" s="1212"/>
    </row>
    <row r="4" spans="1:20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1213"/>
      <c r="Q4" s="1214"/>
      <c r="R4" s="1215"/>
    </row>
    <row r="5" spans="1:20" ht="15.75" customHeight="1" x14ac:dyDescent="0.2">
      <c r="A5" s="459" t="s">
        <v>59</v>
      </c>
      <c r="B5" s="995" t="str">
        <f>Terrap.!B5</f>
        <v>PREFEITURA MUNICIPAL DE JACIARA</v>
      </c>
      <c r="C5" s="1205"/>
      <c r="D5" s="1205"/>
      <c r="E5" s="1205"/>
      <c r="F5" s="1205"/>
      <c r="G5" s="1205"/>
      <c r="H5" s="1205"/>
      <c r="I5" s="1205"/>
      <c r="J5" s="1205"/>
      <c r="K5" s="1206"/>
      <c r="L5" s="464" t="s">
        <v>455</v>
      </c>
      <c r="M5" s="878" t="str">
        <f>Terrap.!F5</f>
        <v>FEVEREIRO 2019</v>
      </c>
      <c r="N5" s="878"/>
      <c r="O5" s="878"/>
      <c r="P5" s="1213"/>
      <c r="Q5" s="1214"/>
      <c r="R5" s="1215"/>
    </row>
    <row r="6" spans="1:20" ht="26.25" customHeight="1" thickBot="1" x14ac:dyDescent="0.25">
      <c r="A6" s="465" t="s">
        <v>60</v>
      </c>
      <c r="B6" s="1207">
        <f>Pavim.!B6</f>
        <v>3632.82</v>
      </c>
      <c r="C6" s="1208"/>
      <c r="D6" s="1208"/>
      <c r="E6" s="1208"/>
      <c r="F6" s="1208"/>
      <c r="G6" s="1208"/>
      <c r="H6" s="1208"/>
      <c r="I6" s="1208"/>
      <c r="J6" s="1208"/>
      <c r="K6" s="1209"/>
      <c r="L6" s="466" t="s">
        <v>61</v>
      </c>
      <c r="M6" s="467">
        <f>Terrap.!F6</f>
        <v>0.26019999999999999</v>
      </c>
      <c r="N6" s="996" t="s">
        <v>62</v>
      </c>
      <c r="O6" s="996"/>
      <c r="P6" s="1216"/>
      <c r="Q6" s="1217"/>
      <c r="R6" s="1218"/>
    </row>
    <row r="7" spans="1:20" ht="33" customHeight="1" thickBot="1" x14ac:dyDescent="0.25">
      <c r="A7" s="1173" t="s">
        <v>9</v>
      </c>
      <c r="B7" s="1174"/>
      <c r="C7" s="1174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5"/>
    </row>
    <row r="8" spans="1:20" ht="13.5" thickBot="1" x14ac:dyDescent="0.25">
      <c r="A8" s="1194" t="s">
        <v>0</v>
      </c>
      <c r="B8" s="1197" t="s">
        <v>10</v>
      </c>
      <c r="C8" s="1200" t="s">
        <v>11</v>
      </c>
      <c r="D8" s="1200"/>
      <c r="E8" s="1201" t="s">
        <v>12</v>
      </c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3"/>
    </row>
    <row r="9" spans="1:20" ht="13.5" thickBot="1" x14ac:dyDescent="0.25">
      <c r="A9" s="1195"/>
      <c r="B9" s="1198"/>
      <c r="C9" s="1200"/>
      <c r="D9" s="1200"/>
      <c r="E9" s="1188" t="s">
        <v>304</v>
      </c>
      <c r="F9" s="1189"/>
      <c r="G9" s="1204" t="s">
        <v>299</v>
      </c>
      <c r="H9" s="1189"/>
      <c r="I9" s="1188" t="s">
        <v>305</v>
      </c>
      <c r="J9" s="1189"/>
      <c r="K9" s="1188" t="s">
        <v>300</v>
      </c>
      <c r="L9" s="1189"/>
      <c r="M9" s="1188" t="s">
        <v>306</v>
      </c>
      <c r="N9" s="1189"/>
      <c r="O9" s="1188" t="s">
        <v>310</v>
      </c>
      <c r="P9" s="1189"/>
      <c r="Q9" s="1188" t="s">
        <v>13</v>
      </c>
      <c r="R9" s="1189"/>
    </row>
    <row r="10" spans="1:20" ht="13.5" thickBot="1" x14ac:dyDescent="0.25">
      <c r="A10" s="1196"/>
      <c r="B10" s="1199"/>
      <c r="C10" s="42" t="s">
        <v>14</v>
      </c>
      <c r="D10" s="43" t="s">
        <v>15</v>
      </c>
      <c r="E10" s="426" t="s">
        <v>14</v>
      </c>
      <c r="F10" s="43" t="s">
        <v>15</v>
      </c>
      <c r="G10" s="60" t="s">
        <v>16</v>
      </c>
      <c r="H10" s="44" t="s">
        <v>15</v>
      </c>
      <c r="I10" s="60" t="s">
        <v>16</v>
      </c>
      <c r="J10" s="44" t="s">
        <v>15</v>
      </c>
      <c r="K10" s="60" t="s">
        <v>16</v>
      </c>
      <c r="L10" s="44" t="s">
        <v>15</v>
      </c>
      <c r="M10" s="60" t="s">
        <v>16</v>
      </c>
      <c r="N10" s="44" t="s">
        <v>15</v>
      </c>
      <c r="O10" s="60" t="s">
        <v>16</v>
      </c>
      <c r="P10" s="44" t="s">
        <v>15</v>
      </c>
      <c r="Q10" s="60" t="s">
        <v>16</v>
      </c>
      <c r="R10" s="44" t="s">
        <v>15</v>
      </c>
    </row>
    <row r="11" spans="1:20" s="383" customFormat="1" x14ac:dyDescent="0.2">
      <c r="A11" s="389">
        <f>Resumo!A10</f>
        <v>1</v>
      </c>
      <c r="B11" s="418" t="str">
        <f>Resumo!B10</f>
        <v>SERVIÇOS PRELIMINARES</v>
      </c>
      <c r="C11" s="394"/>
      <c r="D11" s="395"/>
      <c r="E11" s="394"/>
      <c r="F11" s="388"/>
      <c r="G11" s="394"/>
      <c r="H11" s="396"/>
      <c r="I11" s="394"/>
      <c r="J11" s="388"/>
      <c r="K11" s="394"/>
      <c r="L11" s="388"/>
      <c r="M11" s="394"/>
      <c r="N11" s="388"/>
      <c r="O11" s="394"/>
      <c r="P11" s="388"/>
      <c r="Q11" s="394"/>
      <c r="R11" s="397"/>
    </row>
    <row r="12" spans="1:20" s="383" customFormat="1" ht="25.5" x14ac:dyDescent="0.2">
      <c r="A12" s="433" t="str">
        <f>Orçam.!A10</f>
        <v>1.1</v>
      </c>
      <c r="B12" s="390" t="str">
        <f>Orçam.!D10</f>
        <v>EXECUÇÃO DE DEPÓSITO EM CANTEIRO DE OBRA EM CHAPA DE MADEIRA COMPENSADA, NÃO INCLUSO MOBILIÁRIO. AF_04/2016</v>
      </c>
      <c r="C12" s="398">
        <f>Orçam.!J10</f>
        <v>5403.78</v>
      </c>
      <c r="D12" s="399" t="e">
        <f>C12/C85</f>
        <v>#REF!</v>
      </c>
      <c r="E12" s="398">
        <f t="shared" ref="E12:E16" si="0">$C12*F12/100</f>
        <v>5403.78</v>
      </c>
      <c r="F12" s="391">
        <v>100</v>
      </c>
      <c r="G12" s="398"/>
      <c r="H12" s="397"/>
      <c r="I12" s="398"/>
      <c r="J12" s="391"/>
      <c r="K12" s="398"/>
      <c r="L12" s="391"/>
      <c r="M12" s="398"/>
      <c r="N12" s="391"/>
      <c r="O12" s="398"/>
      <c r="P12" s="391"/>
      <c r="Q12" s="398">
        <f t="shared" ref="Q12:Q16" si="1">E12+G12+I12+K12+M12+O12</f>
        <v>5403.78</v>
      </c>
      <c r="R12" s="397">
        <f t="shared" ref="R12:R16" si="2">F12+H12+J12+L12</f>
        <v>100</v>
      </c>
      <c r="T12" s="416">
        <f>C12-Q12</f>
        <v>0</v>
      </c>
    </row>
    <row r="13" spans="1:20" s="383" customFormat="1" x14ac:dyDescent="0.2">
      <c r="A13" s="433" t="str">
        <f>Orçam.!A11</f>
        <v>1.2</v>
      </c>
      <c r="B13" s="390" t="str">
        <f>Orçam.!D11</f>
        <v>PLACA DE OBRA EM CHAPA DE ACO GALVANIZADO</v>
      </c>
      <c r="C13" s="398">
        <f>Orçam.!J11</f>
        <v>1968.61</v>
      </c>
      <c r="D13" s="399" t="e">
        <f>C13/C85</f>
        <v>#REF!</v>
      </c>
      <c r="E13" s="398">
        <f t="shared" si="0"/>
        <v>1968.61</v>
      </c>
      <c r="F13" s="391">
        <v>100</v>
      </c>
      <c r="G13" s="398"/>
      <c r="H13" s="397"/>
      <c r="I13" s="398"/>
      <c r="J13" s="391"/>
      <c r="K13" s="398"/>
      <c r="L13" s="391"/>
      <c r="M13" s="398"/>
      <c r="N13" s="391"/>
      <c r="O13" s="398"/>
      <c r="P13" s="391"/>
      <c r="Q13" s="398">
        <f t="shared" si="1"/>
        <v>1968.61</v>
      </c>
      <c r="R13" s="397">
        <f t="shared" si="2"/>
        <v>100</v>
      </c>
      <c r="T13" s="416">
        <f t="shared" ref="T13:T76" si="3">C13-Q13</f>
        <v>0</v>
      </c>
    </row>
    <row r="14" spans="1:20" s="383" customFormat="1" x14ac:dyDescent="0.2">
      <c r="A14" s="433" t="e">
        <f>Orçam.!#REF!</f>
        <v>#REF!</v>
      </c>
      <c r="B14" s="390" t="e">
        <f>Orçam.!#REF!</f>
        <v>#REF!</v>
      </c>
      <c r="C14" s="398" t="e">
        <f>Orçam.!#REF!</f>
        <v>#REF!</v>
      </c>
      <c r="D14" s="399" t="e">
        <f>C14/$C$85</f>
        <v>#REF!</v>
      </c>
      <c r="E14" s="398" t="e">
        <f t="shared" si="0"/>
        <v>#REF!</v>
      </c>
      <c r="F14" s="391">
        <v>100</v>
      </c>
      <c r="G14" s="398"/>
      <c r="H14" s="397"/>
      <c r="I14" s="398"/>
      <c r="J14" s="391"/>
      <c r="K14" s="398"/>
      <c r="L14" s="391"/>
      <c r="M14" s="398"/>
      <c r="N14" s="391"/>
      <c r="O14" s="398"/>
      <c r="P14" s="391"/>
      <c r="Q14" s="398" t="e">
        <f t="shared" si="1"/>
        <v>#REF!</v>
      </c>
      <c r="R14" s="397">
        <f t="shared" si="2"/>
        <v>100</v>
      </c>
      <c r="T14" s="416" t="e">
        <f t="shared" si="3"/>
        <v>#REF!</v>
      </c>
    </row>
    <row r="15" spans="1:20" s="383" customFormat="1" x14ac:dyDescent="0.2">
      <c r="A15" s="433" t="e">
        <f>Orçam.!#REF!</f>
        <v>#REF!</v>
      </c>
      <c r="B15" s="390" t="e">
        <f>Orçam.!#REF!</f>
        <v>#REF!</v>
      </c>
      <c r="C15" s="398" t="e">
        <f>Orçam.!#REF!</f>
        <v>#REF!</v>
      </c>
      <c r="D15" s="399" t="e">
        <f>C15/$C$85</f>
        <v>#REF!</v>
      </c>
      <c r="E15" s="398" t="e">
        <f t="shared" si="0"/>
        <v>#REF!</v>
      </c>
      <c r="F15" s="391">
        <v>100</v>
      </c>
      <c r="G15" s="398"/>
      <c r="H15" s="397"/>
      <c r="I15" s="398"/>
      <c r="J15" s="391"/>
      <c r="K15" s="398"/>
      <c r="L15" s="391"/>
      <c r="M15" s="398"/>
      <c r="N15" s="391"/>
      <c r="O15" s="398"/>
      <c r="P15" s="391"/>
      <c r="Q15" s="398" t="e">
        <f t="shared" si="1"/>
        <v>#REF!</v>
      </c>
      <c r="R15" s="397">
        <f t="shared" si="2"/>
        <v>100</v>
      </c>
      <c r="T15" s="416" t="e">
        <f t="shared" si="3"/>
        <v>#REF!</v>
      </c>
    </row>
    <row r="16" spans="1:20" s="37" customFormat="1" x14ac:dyDescent="0.2">
      <c r="A16" s="433" t="e">
        <f>Orçam.!#REF!</f>
        <v>#REF!</v>
      </c>
      <c r="B16" s="390" t="e">
        <f>Orçam.!#REF!</f>
        <v>#REF!</v>
      </c>
      <c r="C16" s="398" t="e">
        <f>Orçam.!#REF!</f>
        <v>#REF!</v>
      </c>
      <c r="D16" s="399" t="e">
        <f>C16/$C$85</f>
        <v>#REF!</v>
      </c>
      <c r="E16" s="398" t="e">
        <f t="shared" si="0"/>
        <v>#REF!</v>
      </c>
      <c r="F16" s="391">
        <v>100</v>
      </c>
      <c r="G16" s="398"/>
      <c r="H16" s="397"/>
      <c r="I16" s="398"/>
      <c r="J16" s="391"/>
      <c r="K16" s="398"/>
      <c r="L16" s="391"/>
      <c r="M16" s="398"/>
      <c r="N16" s="391"/>
      <c r="O16" s="398"/>
      <c r="P16" s="391"/>
      <c r="Q16" s="398" t="e">
        <f t="shared" si="1"/>
        <v>#REF!</v>
      </c>
      <c r="R16" s="397">
        <f t="shared" si="2"/>
        <v>100</v>
      </c>
      <c r="T16" s="416" t="e">
        <f t="shared" si="3"/>
        <v>#REF!</v>
      </c>
    </row>
    <row r="17" spans="1:20" s="37" customFormat="1" x14ac:dyDescent="0.2">
      <c r="A17" s="433"/>
      <c r="B17" s="390"/>
      <c r="C17" s="398"/>
      <c r="D17" s="399"/>
      <c r="E17" s="398"/>
      <c r="F17" s="391"/>
      <c r="G17" s="398"/>
      <c r="H17" s="397"/>
      <c r="I17" s="398"/>
      <c r="J17" s="391"/>
      <c r="K17" s="398"/>
      <c r="L17" s="391"/>
      <c r="M17" s="398"/>
      <c r="N17" s="391"/>
      <c r="O17" s="398"/>
      <c r="P17" s="391"/>
      <c r="Q17" s="398"/>
      <c r="R17" s="397"/>
      <c r="T17" s="416">
        <f t="shared" si="3"/>
        <v>0</v>
      </c>
    </row>
    <row r="18" spans="1:20" s="383" customFormat="1" x14ac:dyDescent="0.2">
      <c r="A18" s="388">
        <f>Resumo!A12</f>
        <v>2</v>
      </c>
      <c r="B18" s="419" t="str">
        <f>Resumo!B12</f>
        <v>ADMINISTRAÇÃO LOCAL</v>
      </c>
      <c r="C18" s="394"/>
      <c r="D18" s="399"/>
      <c r="E18" s="394"/>
      <c r="F18" s="388"/>
      <c r="G18" s="394"/>
      <c r="H18" s="396"/>
      <c r="I18" s="394"/>
      <c r="J18" s="388"/>
      <c r="K18" s="394"/>
      <c r="L18" s="388"/>
      <c r="M18" s="394"/>
      <c r="N18" s="388"/>
      <c r="O18" s="394"/>
      <c r="P18" s="388"/>
      <c r="Q18" s="394"/>
      <c r="R18" s="397"/>
      <c r="T18" s="416">
        <f t="shared" si="3"/>
        <v>0</v>
      </c>
    </row>
    <row r="19" spans="1:20" s="383" customFormat="1" x14ac:dyDescent="0.2">
      <c r="A19" s="391" t="str">
        <f>Orçam.!A14</f>
        <v>2.1</v>
      </c>
      <c r="B19" s="420" t="str">
        <f>Orçam.!D14</f>
        <v>ADMINISTRAÇÃO LOCAL DE OBRA</v>
      </c>
      <c r="C19" s="398">
        <f>Orçam.!J14</f>
        <v>17437.990000000002</v>
      </c>
      <c r="D19" s="399" t="e">
        <f>C19/$C$85</f>
        <v>#REF!</v>
      </c>
      <c r="E19" s="398">
        <f t="shared" ref="E19:E22" si="4">$C19*F19/100</f>
        <v>3487.6</v>
      </c>
      <c r="F19" s="391">
        <v>20</v>
      </c>
      <c r="G19" s="398">
        <f t="shared" ref="G19:G22" si="5">$C19*H19/100</f>
        <v>3487.6</v>
      </c>
      <c r="H19" s="397">
        <v>20</v>
      </c>
      <c r="I19" s="398">
        <f t="shared" ref="I19:I22" si="6">$C19*J19/100</f>
        <v>3487.6</v>
      </c>
      <c r="J19" s="391">
        <v>20</v>
      </c>
      <c r="K19" s="398">
        <f t="shared" ref="K19:K22" si="7">$C19*L19/100</f>
        <v>3487.6</v>
      </c>
      <c r="L19" s="391">
        <v>20</v>
      </c>
      <c r="M19" s="398">
        <f t="shared" ref="M19:M22" si="8">$C19*N19/100</f>
        <v>1743.8</v>
      </c>
      <c r="N19" s="391">
        <v>10</v>
      </c>
      <c r="O19" s="398">
        <f>$C19*P19/100</f>
        <v>1743.8</v>
      </c>
      <c r="P19" s="391">
        <v>10</v>
      </c>
      <c r="Q19" s="398">
        <f t="shared" ref="Q19:R53" si="9">E19+G19+I19+K19+M19+O19</f>
        <v>17438</v>
      </c>
      <c r="R19" s="397">
        <f t="shared" si="9"/>
        <v>100</v>
      </c>
      <c r="T19" s="416">
        <f t="shared" si="3"/>
        <v>-0.01</v>
      </c>
    </row>
    <row r="20" spans="1:20" s="383" customFormat="1" x14ac:dyDescent="0.2">
      <c r="A20" s="391" t="e">
        <f>Orçam.!#REF!</f>
        <v>#REF!</v>
      </c>
      <c r="B20" s="420" t="e">
        <f>Orçam.!#REF!</f>
        <v>#REF!</v>
      </c>
      <c r="C20" s="398" t="e">
        <f>Orçam.!#REF!</f>
        <v>#REF!</v>
      </c>
      <c r="D20" s="399" t="e">
        <f>C20/$C$85</f>
        <v>#REF!</v>
      </c>
      <c r="E20" s="398" t="e">
        <f t="shared" si="4"/>
        <v>#REF!</v>
      </c>
      <c r="F20" s="391">
        <v>20</v>
      </c>
      <c r="G20" s="398" t="e">
        <f t="shared" si="5"/>
        <v>#REF!</v>
      </c>
      <c r="H20" s="397">
        <v>20</v>
      </c>
      <c r="I20" s="398" t="e">
        <f t="shared" si="6"/>
        <v>#REF!</v>
      </c>
      <c r="J20" s="391">
        <v>20</v>
      </c>
      <c r="K20" s="398" t="e">
        <f t="shared" si="7"/>
        <v>#REF!</v>
      </c>
      <c r="L20" s="391">
        <v>20</v>
      </c>
      <c r="M20" s="398" t="e">
        <f t="shared" si="8"/>
        <v>#REF!</v>
      </c>
      <c r="N20" s="391">
        <v>10</v>
      </c>
      <c r="O20" s="398" t="e">
        <f>$C20*P20/100</f>
        <v>#REF!</v>
      </c>
      <c r="P20" s="391">
        <v>10</v>
      </c>
      <c r="Q20" s="398" t="e">
        <f t="shared" si="9"/>
        <v>#REF!</v>
      </c>
      <c r="R20" s="397">
        <f t="shared" si="9"/>
        <v>100</v>
      </c>
      <c r="T20" s="416" t="e">
        <f t="shared" si="3"/>
        <v>#REF!</v>
      </c>
    </row>
    <row r="21" spans="1:20" s="383" customFormat="1" x14ac:dyDescent="0.2">
      <c r="A21" s="391" t="e">
        <f>Orçam.!#REF!</f>
        <v>#REF!</v>
      </c>
      <c r="B21" s="420" t="e">
        <f>Orçam.!#REF!</f>
        <v>#REF!</v>
      </c>
      <c r="C21" s="398" t="e">
        <f>Orçam.!#REF!</f>
        <v>#REF!</v>
      </c>
      <c r="D21" s="399" t="e">
        <f>C21/$C$85</f>
        <v>#REF!</v>
      </c>
      <c r="E21" s="398" t="e">
        <f t="shared" si="4"/>
        <v>#REF!</v>
      </c>
      <c r="F21" s="391">
        <v>20</v>
      </c>
      <c r="G21" s="398" t="e">
        <f t="shared" si="5"/>
        <v>#REF!</v>
      </c>
      <c r="H21" s="397">
        <v>20</v>
      </c>
      <c r="I21" s="398" t="e">
        <f t="shared" si="6"/>
        <v>#REF!</v>
      </c>
      <c r="J21" s="391">
        <v>20</v>
      </c>
      <c r="K21" s="398" t="e">
        <f t="shared" si="7"/>
        <v>#REF!</v>
      </c>
      <c r="L21" s="391">
        <v>20</v>
      </c>
      <c r="M21" s="398" t="e">
        <f t="shared" si="8"/>
        <v>#REF!</v>
      </c>
      <c r="N21" s="391">
        <v>10</v>
      </c>
      <c r="O21" s="398" t="e">
        <f>$C21*P21/100</f>
        <v>#REF!</v>
      </c>
      <c r="P21" s="391">
        <v>10</v>
      </c>
      <c r="Q21" s="398" t="e">
        <f t="shared" si="9"/>
        <v>#REF!</v>
      </c>
      <c r="R21" s="397">
        <f t="shared" si="9"/>
        <v>100</v>
      </c>
      <c r="T21" s="416" t="e">
        <f t="shared" si="3"/>
        <v>#REF!</v>
      </c>
    </row>
    <row r="22" spans="1:20" s="383" customFormat="1" x14ac:dyDescent="0.2">
      <c r="A22" s="391" t="e">
        <f>Orçam.!#REF!</f>
        <v>#REF!</v>
      </c>
      <c r="B22" s="420" t="e">
        <f>Orçam.!#REF!</f>
        <v>#REF!</v>
      </c>
      <c r="C22" s="398" t="e">
        <f>Orçam.!#REF!</f>
        <v>#REF!</v>
      </c>
      <c r="D22" s="399" t="e">
        <f>C22/$C$85</f>
        <v>#REF!</v>
      </c>
      <c r="E22" s="398" t="e">
        <f t="shared" si="4"/>
        <v>#REF!</v>
      </c>
      <c r="F22" s="391">
        <v>20</v>
      </c>
      <c r="G22" s="398" t="e">
        <f t="shared" si="5"/>
        <v>#REF!</v>
      </c>
      <c r="H22" s="397">
        <v>20</v>
      </c>
      <c r="I22" s="398" t="e">
        <f t="shared" si="6"/>
        <v>#REF!</v>
      </c>
      <c r="J22" s="391">
        <v>20</v>
      </c>
      <c r="K22" s="398" t="e">
        <f t="shared" si="7"/>
        <v>#REF!</v>
      </c>
      <c r="L22" s="391">
        <v>20</v>
      </c>
      <c r="M22" s="398" t="e">
        <f t="shared" si="8"/>
        <v>#REF!</v>
      </c>
      <c r="N22" s="391">
        <v>10</v>
      </c>
      <c r="O22" s="398" t="e">
        <f>$C22*P22/100</f>
        <v>#REF!</v>
      </c>
      <c r="P22" s="391">
        <v>10</v>
      </c>
      <c r="Q22" s="398" t="e">
        <f t="shared" si="9"/>
        <v>#REF!</v>
      </c>
      <c r="R22" s="397">
        <f t="shared" si="9"/>
        <v>100</v>
      </c>
      <c r="T22" s="416" t="e">
        <f t="shared" si="3"/>
        <v>#REF!</v>
      </c>
    </row>
    <row r="23" spans="1:20" s="383" customFormat="1" x14ac:dyDescent="0.2">
      <c r="A23" s="391"/>
      <c r="B23" s="420"/>
      <c r="C23" s="398"/>
      <c r="D23" s="399"/>
      <c r="E23" s="398"/>
      <c r="F23" s="391"/>
      <c r="G23" s="398"/>
      <c r="H23" s="397"/>
      <c r="I23" s="398"/>
      <c r="J23" s="391"/>
      <c r="K23" s="398"/>
      <c r="L23" s="391"/>
      <c r="M23" s="398"/>
      <c r="N23" s="391"/>
      <c r="O23" s="398"/>
      <c r="P23" s="391"/>
      <c r="Q23" s="398"/>
      <c r="R23" s="397"/>
      <c r="T23" s="416">
        <f t="shared" si="3"/>
        <v>0</v>
      </c>
    </row>
    <row r="24" spans="1:20" s="383" customFormat="1" x14ac:dyDescent="0.2">
      <c r="A24" s="388" t="e">
        <f>Resumo!#REF!</f>
        <v>#REF!</v>
      </c>
      <c r="B24" s="421" t="e">
        <f>Resumo!#REF!</f>
        <v>#REF!</v>
      </c>
      <c r="C24" s="394"/>
      <c r="D24" s="399"/>
      <c r="E24" s="394"/>
      <c r="F24" s="388"/>
      <c r="G24" s="394"/>
      <c r="H24" s="396"/>
      <c r="I24" s="394"/>
      <c r="J24" s="388"/>
      <c r="K24" s="394"/>
      <c r="L24" s="388"/>
      <c r="M24" s="394"/>
      <c r="N24" s="388"/>
      <c r="O24" s="394"/>
      <c r="P24" s="388"/>
      <c r="Q24" s="394"/>
      <c r="R24" s="397"/>
      <c r="T24" s="416">
        <f t="shared" si="3"/>
        <v>0</v>
      </c>
    </row>
    <row r="25" spans="1:20" s="37" customFormat="1" x14ac:dyDescent="0.2">
      <c r="A25" s="388" t="e">
        <f>Resumo!#REF!</f>
        <v>#REF!</v>
      </c>
      <c r="B25" s="419" t="e">
        <f>Resumo!#REF!</f>
        <v>#REF!</v>
      </c>
      <c r="C25" s="398"/>
      <c r="D25" s="399"/>
      <c r="E25" s="398"/>
      <c r="F25" s="391"/>
      <c r="G25" s="398"/>
      <c r="H25" s="397"/>
      <c r="I25" s="398"/>
      <c r="J25" s="391"/>
      <c r="K25" s="398"/>
      <c r="L25" s="391"/>
      <c r="M25" s="398"/>
      <c r="N25" s="391"/>
      <c r="O25" s="398"/>
      <c r="P25" s="391"/>
      <c r="Q25" s="398"/>
      <c r="R25" s="397"/>
      <c r="T25" s="416">
        <f t="shared" si="3"/>
        <v>0</v>
      </c>
    </row>
    <row r="26" spans="1:20" s="37" customFormat="1" x14ac:dyDescent="0.2">
      <c r="A26" s="391" t="e">
        <f>Orçam.!#REF!</f>
        <v>#REF!</v>
      </c>
      <c r="B26" s="420" t="e">
        <f>Orçam.!#REF!</f>
        <v>#REF!</v>
      </c>
      <c r="C26" s="398" t="e">
        <f>Orçam.!#REF!</f>
        <v>#REF!</v>
      </c>
      <c r="D26" s="399" t="e">
        <f>C26/$C$85</f>
        <v>#REF!</v>
      </c>
      <c r="E26" s="398" t="e">
        <f>$C26*F26/100</f>
        <v>#REF!</v>
      </c>
      <c r="F26" s="391">
        <v>50</v>
      </c>
      <c r="G26" s="398" t="e">
        <f>$C26*H26/100</f>
        <v>#REF!</v>
      </c>
      <c r="H26" s="397">
        <v>50</v>
      </c>
      <c r="I26" s="398"/>
      <c r="J26" s="391"/>
      <c r="K26" s="398"/>
      <c r="L26" s="391"/>
      <c r="M26" s="398"/>
      <c r="N26" s="391"/>
      <c r="O26" s="398"/>
      <c r="P26" s="391"/>
      <c r="Q26" s="398" t="e">
        <f t="shared" si="9"/>
        <v>#REF!</v>
      </c>
      <c r="R26" s="397">
        <f t="shared" si="9"/>
        <v>100</v>
      </c>
      <c r="T26" s="416" t="e">
        <f t="shared" si="3"/>
        <v>#REF!</v>
      </c>
    </row>
    <row r="27" spans="1:20" s="37" customFormat="1" x14ac:dyDescent="0.2">
      <c r="A27" s="388" t="e">
        <f>Resumo!#REF!</f>
        <v>#REF!</v>
      </c>
      <c r="B27" s="419" t="e">
        <f>Resumo!#REF!</f>
        <v>#REF!</v>
      </c>
      <c r="C27" s="398"/>
      <c r="D27" s="399"/>
      <c r="E27" s="398"/>
      <c r="F27" s="391"/>
      <c r="G27" s="398"/>
      <c r="H27" s="397"/>
      <c r="I27" s="398"/>
      <c r="J27" s="391"/>
      <c r="K27" s="398"/>
      <c r="L27" s="391"/>
      <c r="M27" s="398"/>
      <c r="N27" s="391"/>
      <c r="O27" s="398"/>
      <c r="P27" s="391"/>
      <c r="Q27" s="398"/>
      <c r="R27" s="397"/>
      <c r="T27" s="416">
        <f t="shared" si="3"/>
        <v>0</v>
      </c>
    </row>
    <row r="28" spans="1:20" s="37" customFormat="1" x14ac:dyDescent="0.2">
      <c r="A28" s="391" t="e">
        <f>Orçam.!#REF!</f>
        <v>#REF!</v>
      </c>
      <c r="B28" s="422" t="e">
        <f>Orçam.!#REF!</f>
        <v>#REF!</v>
      </c>
      <c r="C28" s="398" t="e">
        <f>Orçam.!#REF!</f>
        <v>#REF!</v>
      </c>
      <c r="D28" s="399" t="e">
        <f>C28/$C$85</f>
        <v>#REF!</v>
      </c>
      <c r="E28" s="398" t="e">
        <f>$C28*F28/100</f>
        <v>#REF!</v>
      </c>
      <c r="F28" s="391">
        <v>40</v>
      </c>
      <c r="G28" s="398" t="e">
        <f>$C28*H28/100</f>
        <v>#REF!</v>
      </c>
      <c r="H28" s="397">
        <v>45</v>
      </c>
      <c r="I28" s="398" t="e">
        <f>$C28*J28/100+0.01</f>
        <v>#REF!</v>
      </c>
      <c r="J28" s="391">
        <v>15</v>
      </c>
      <c r="K28" s="398"/>
      <c r="L28" s="391"/>
      <c r="M28" s="398"/>
      <c r="N28" s="391"/>
      <c r="O28" s="398"/>
      <c r="P28" s="391"/>
      <c r="Q28" s="398" t="e">
        <f t="shared" si="9"/>
        <v>#REF!</v>
      </c>
      <c r="R28" s="397">
        <f t="shared" si="9"/>
        <v>100</v>
      </c>
      <c r="T28" s="416" t="e">
        <f t="shared" si="3"/>
        <v>#REF!</v>
      </c>
    </row>
    <row r="29" spans="1:20" s="37" customFormat="1" x14ac:dyDescent="0.2">
      <c r="A29" s="391" t="e">
        <f>Orçam.!#REF!</f>
        <v>#REF!</v>
      </c>
      <c r="B29" s="422" t="e">
        <f>Orçam.!#REF!</f>
        <v>#REF!</v>
      </c>
      <c r="C29" s="398" t="e">
        <f>Orçam.!#REF!</f>
        <v>#REF!</v>
      </c>
      <c r="D29" s="399" t="e">
        <f>C29/$C$85</f>
        <v>#REF!</v>
      </c>
      <c r="E29" s="398" t="e">
        <f>$C29*F29/100</f>
        <v>#REF!</v>
      </c>
      <c r="F29" s="391">
        <v>40</v>
      </c>
      <c r="G29" s="398" t="e">
        <f>$C29*H29/100</f>
        <v>#REF!</v>
      </c>
      <c r="H29" s="397">
        <v>45</v>
      </c>
      <c r="I29" s="398" t="e">
        <f>$C29*J29/100</f>
        <v>#REF!</v>
      </c>
      <c r="J29" s="391">
        <v>15</v>
      </c>
      <c r="K29" s="398"/>
      <c r="L29" s="391"/>
      <c r="M29" s="398"/>
      <c r="N29" s="391"/>
      <c r="O29" s="398"/>
      <c r="P29" s="391"/>
      <c r="Q29" s="398" t="e">
        <f t="shared" si="9"/>
        <v>#REF!</v>
      </c>
      <c r="R29" s="397">
        <f t="shared" si="9"/>
        <v>100</v>
      </c>
      <c r="T29" s="416" t="e">
        <f>C29-Q29</f>
        <v>#REF!</v>
      </c>
    </row>
    <row r="30" spans="1:20" s="37" customFormat="1" x14ac:dyDescent="0.2">
      <c r="A30" s="391" t="e">
        <f>Orçam.!#REF!</f>
        <v>#REF!</v>
      </c>
      <c r="B30" s="422" t="e">
        <f>Orçam.!#REF!</f>
        <v>#REF!</v>
      </c>
      <c r="C30" s="398" t="e">
        <f>Orçam.!#REF!</f>
        <v>#REF!</v>
      </c>
      <c r="D30" s="399" t="e">
        <f>C30/$C$85</f>
        <v>#REF!</v>
      </c>
      <c r="E30" s="398" t="e">
        <f>$C30*F30/100</f>
        <v>#REF!</v>
      </c>
      <c r="F30" s="391">
        <v>40</v>
      </c>
      <c r="G30" s="398" t="e">
        <f>$C30*H30/100</f>
        <v>#REF!</v>
      </c>
      <c r="H30" s="397">
        <v>45</v>
      </c>
      <c r="I30" s="398" t="e">
        <f>$C30*J30/100-0.01</f>
        <v>#REF!</v>
      </c>
      <c r="J30" s="391">
        <v>15</v>
      </c>
      <c r="K30" s="398"/>
      <c r="L30" s="391"/>
      <c r="M30" s="398"/>
      <c r="N30" s="391"/>
      <c r="O30" s="398"/>
      <c r="P30" s="391"/>
      <c r="Q30" s="398" t="e">
        <f t="shared" si="9"/>
        <v>#REF!</v>
      </c>
      <c r="R30" s="397">
        <f t="shared" si="9"/>
        <v>100</v>
      </c>
      <c r="T30" s="416" t="e">
        <f t="shared" si="3"/>
        <v>#REF!</v>
      </c>
    </row>
    <row r="31" spans="1:20" s="37" customFormat="1" x14ac:dyDescent="0.2">
      <c r="A31" s="391" t="e">
        <f>Orçam.!#REF!</f>
        <v>#REF!</v>
      </c>
      <c r="B31" s="422" t="e">
        <f>Orçam.!#REF!</f>
        <v>#REF!</v>
      </c>
      <c r="C31" s="398" t="e">
        <f>Orçam.!#REF!</f>
        <v>#REF!</v>
      </c>
      <c r="D31" s="399" t="e">
        <f>C31/$C$85</f>
        <v>#REF!</v>
      </c>
      <c r="E31" s="398" t="e">
        <f>$C31*F31/100</f>
        <v>#REF!</v>
      </c>
      <c r="F31" s="391">
        <v>40</v>
      </c>
      <c r="G31" s="398" t="e">
        <f>$C31*H31/100</f>
        <v>#REF!</v>
      </c>
      <c r="H31" s="397">
        <v>45</v>
      </c>
      <c r="I31" s="398" t="e">
        <f>$C31*J31/100+0.01</f>
        <v>#REF!</v>
      </c>
      <c r="J31" s="391">
        <v>15</v>
      </c>
      <c r="K31" s="398"/>
      <c r="L31" s="391"/>
      <c r="M31" s="398"/>
      <c r="N31" s="391"/>
      <c r="O31" s="398"/>
      <c r="P31" s="391"/>
      <c r="Q31" s="398" t="e">
        <f t="shared" si="9"/>
        <v>#REF!</v>
      </c>
      <c r="R31" s="397">
        <f t="shared" si="9"/>
        <v>100</v>
      </c>
      <c r="T31" s="416" t="e">
        <f t="shared" si="3"/>
        <v>#REF!</v>
      </c>
    </row>
    <row r="32" spans="1:20" s="37" customFormat="1" x14ac:dyDescent="0.2">
      <c r="A32" s="391" t="e">
        <f>Orçam.!#REF!</f>
        <v>#REF!</v>
      </c>
      <c r="B32" s="422" t="e">
        <f>Orçam.!#REF!</f>
        <v>#REF!</v>
      </c>
      <c r="C32" s="398" t="e">
        <f>Orçam.!#REF!</f>
        <v>#REF!</v>
      </c>
      <c r="D32" s="399" t="e">
        <f>C32/$C$85</f>
        <v>#REF!</v>
      </c>
      <c r="E32" s="398" t="e">
        <f>$C32*F32/100</f>
        <v>#REF!</v>
      </c>
      <c r="F32" s="391">
        <v>40</v>
      </c>
      <c r="G32" s="398" t="e">
        <f>$C32*H32/100</f>
        <v>#REF!</v>
      </c>
      <c r="H32" s="397">
        <v>45</v>
      </c>
      <c r="I32" s="398" t="e">
        <f>$C32*J32/100-0.01</f>
        <v>#REF!</v>
      </c>
      <c r="J32" s="391">
        <v>15</v>
      </c>
      <c r="K32" s="398"/>
      <c r="L32" s="391"/>
      <c r="M32" s="398"/>
      <c r="N32" s="391"/>
      <c r="O32" s="398"/>
      <c r="P32" s="391"/>
      <c r="Q32" s="398" t="e">
        <f t="shared" si="9"/>
        <v>#REF!</v>
      </c>
      <c r="R32" s="397">
        <f t="shared" si="9"/>
        <v>100</v>
      </c>
      <c r="T32" s="416" t="e">
        <f t="shared" si="3"/>
        <v>#REF!</v>
      </c>
    </row>
    <row r="33" spans="1:20" s="37" customFormat="1" x14ac:dyDescent="0.2">
      <c r="A33" s="388" t="e">
        <f>Resumo!#REF!</f>
        <v>#REF!</v>
      </c>
      <c r="B33" s="421" t="e">
        <f>Resumo!#REF!</f>
        <v>#REF!</v>
      </c>
      <c r="C33" s="398"/>
      <c r="D33" s="399"/>
      <c r="E33" s="398"/>
      <c r="F33" s="391"/>
      <c r="G33" s="398"/>
      <c r="H33" s="397"/>
      <c r="I33" s="398"/>
      <c r="J33" s="391"/>
      <c r="K33" s="398"/>
      <c r="L33" s="391"/>
      <c r="M33" s="398"/>
      <c r="N33" s="391"/>
      <c r="O33" s="398"/>
      <c r="P33" s="391"/>
      <c r="Q33" s="398"/>
      <c r="R33" s="397"/>
      <c r="T33" s="416">
        <f t="shared" si="3"/>
        <v>0</v>
      </c>
    </row>
    <row r="34" spans="1:20" s="37" customFormat="1" x14ac:dyDescent="0.2">
      <c r="A34" s="392" t="e">
        <f>Orçam.!#REF!</f>
        <v>#REF!</v>
      </c>
      <c r="B34" s="422" t="e">
        <f>Orçam.!#REF!</f>
        <v>#REF!</v>
      </c>
      <c r="C34" s="398" t="e">
        <f>Orçam.!#REF!</f>
        <v>#REF!</v>
      </c>
      <c r="D34" s="399" t="e">
        <f t="shared" ref="D34:D43" si="10">C34/$C$85</f>
        <v>#REF!</v>
      </c>
      <c r="E34" s="398" t="e">
        <f t="shared" ref="E34:E43" si="11">$C34*F34/100</f>
        <v>#REF!</v>
      </c>
      <c r="F34" s="391">
        <v>10</v>
      </c>
      <c r="G34" s="398" t="e">
        <f t="shared" ref="G34:G43" si="12">$C34*H34/100</f>
        <v>#REF!</v>
      </c>
      <c r="H34" s="397">
        <v>20</v>
      </c>
      <c r="I34" s="398" t="e">
        <f t="shared" ref="I34:I43" si="13">$C34*J34/100</f>
        <v>#REF!</v>
      </c>
      <c r="J34" s="391">
        <v>40</v>
      </c>
      <c r="K34" s="398" t="e">
        <f t="shared" ref="K34:K43" si="14">$C34*L34/100</f>
        <v>#REF!</v>
      </c>
      <c r="L34" s="391">
        <v>25</v>
      </c>
      <c r="M34" s="398" t="e">
        <f t="shared" ref="M34:M43" si="15">$C34*N34/100</f>
        <v>#REF!</v>
      </c>
      <c r="N34" s="391">
        <v>5</v>
      </c>
      <c r="O34" s="398"/>
      <c r="P34" s="391"/>
      <c r="Q34" s="398" t="e">
        <f t="shared" ref="Q34:Q43" si="16">E34+G34+I34+K34+M34+O34</f>
        <v>#REF!</v>
      </c>
      <c r="R34" s="397">
        <f t="shared" si="9"/>
        <v>100</v>
      </c>
      <c r="T34" s="416" t="e">
        <f t="shared" si="3"/>
        <v>#REF!</v>
      </c>
    </row>
    <row r="35" spans="1:20" s="37" customFormat="1" x14ac:dyDescent="0.2">
      <c r="A35" s="392" t="e">
        <f>Orçam.!#REF!</f>
        <v>#REF!</v>
      </c>
      <c r="B35" s="422" t="e">
        <f>Orçam.!#REF!</f>
        <v>#REF!</v>
      </c>
      <c r="C35" s="398" t="e">
        <f>Orçam.!#REF!</f>
        <v>#REF!</v>
      </c>
      <c r="D35" s="399" t="e">
        <f t="shared" si="10"/>
        <v>#REF!</v>
      </c>
      <c r="E35" s="398" t="e">
        <f t="shared" si="11"/>
        <v>#REF!</v>
      </c>
      <c r="F35" s="391">
        <v>10</v>
      </c>
      <c r="G35" s="398" t="e">
        <f t="shared" si="12"/>
        <v>#REF!</v>
      </c>
      <c r="H35" s="397">
        <v>20</v>
      </c>
      <c r="I35" s="398" t="e">
        <f t="shared" si="13"/>
        <v>#REF!</v>
      </c>
      <c r="J35" s="391">
        <v>40</v>
      </c>
      <c r="K35" s="398" t="e">
        <f t="shared" si="14"/>
        <v>#REF!</v>
      </c>
      <c r="L35" s="391">
        <v>25</v>
      </c>
      <c r="M35" s="398" t="e">
        <f t="shared" si="15"/>
        <v>#REF!</v>
      </c>
      <c r="N35" s="391">
        <v>5</v>
      </c>
      <c r="O35" s="398"/>
      <c r="P35" s="391"/>
      <c r="Q35" s="398" t="e">
        <f t="shared" si="16"/>
        <v>#REF!</v>
      </c>
      <c r="R35" s="397">
        <f t="shared" si="9"/>
        <v>100</v>
      </c>
      <c r="T35" s="416" t="e">
        <f t="shared" si="3"/>
        <v>#REF!</v>
      </c>
    </row>
    <row r="36" spans="1:20" s="37" customFormat="1" x14ac:dyDescent="0.2">
      <c r="A36" s="392" t="e">
        <f>Orçam.!#REF!</f>
        <v>#REF!</v>
      </c>
      <c r="B36" s="422" t="e">
        <f>Orçam.!#REF!</f>
        <v>#REF!</v>
      </c>
      <c r="C36" s="398" t="e">
        <f>Orçam.!#REF!</f>
        <v>#REF!</v>
      </c>
      <c r="D36" s="399" t="e">
        <f t="shared" si="10"/>
        <v>#REF!</v>
      </c>
      <c r="E36" s="398" t="e">
        <f t="shared" si="11"/>
        <v>#REF!</v>
      </c>
      <c r="F36" s="391">
        <v>10</v>
      </c>
      <c r="G36" s="398" t="e">
        <f t="shared" si="12"/>
        <v>#REF!</v>
      </c>
      <c r="H36" s="397">
        <v>20</v>
      </c>
      <c r="I36" s="398" t="e">
        <f t="shared" si="13"/>
        <v>#REF!</v>
      </c>
      <c r="J36" s="391">
        <v>40</v>
      </c>
      <c r="K36" s="398" t="e">
        <f t="shared" si="14"/>
        <v>#REF!</v>
      </c>
      <c r="L36" s="391">
        <v>25</v>
      </c>
      <c r="M36" s="398" t="e">
        <f t="shared" si="15"/>
        <v>#REF!</v>
      </c>
      <c r="N36" s="391">
        <v>5</v>
      </c>
      <c r="O36" s="398"/>
      <c r="P36" s="391"/>
      <c r="Q36" s="398" t="e">
        <f t="shared" si="16"/>
        <v>#REF!</v>
      </c>
      <c r="R36" s="397">
        <f t="shared" si="9"/>
        <v>100</v>
      </c>
      <c r="T36" s="416" t="e">
        <f t="shared" si="3"/>
        <v>#REF!</v>
      </c>
    </row>
    <row r="37" spans="1:20" s="37" customFormat="1" x14ac:dyDescent="0.2">
      <c r="A37" s="392" t="e">
        <f>Orçam.!#REF!</f>
        <v>#REF!</v>
      </c>
      <c r="B37" s="422" t="e">
        <f>Orçam.!#REF!</f>
        <v>#REF!</v>
      </c>
      <c r="C37" s="398" t="e">
        <f>Orçam.!#REF!</f>
        <v>#REF!</v>
      </c>
      <c r="D37" s="399" t="e">
        <f t="shared" si="10"/>
        <v>#REF!</v>
      </c>
      <c r="E37" s="398" t="e">
        <f t="shared" si="11"/>
        <v>#REF!</v>
      </c>
      <c r="F37" s="391">
        <v>10</v>
      </c>
      <c r="G37" s="398" t="e">
        <f t="shared" si="12"/>
        <v>#REF!</v>
      </c>
      <c r="H37" s="397">
        <v>20</v>
      </c>
      <c r="I37" s="398" t="e">
        <f t="shared" si="13"/>
        <v>#REF!</v>
      </c>
      <c r="J37" s="391">
        <v>40</v>
      </c>
      <c r="K37" s="398" t="e">
        <f t="shared" si="14"/>
        <v>#REF!</v>
      </c>
      <c r="L37" s="391">
        <v>25</v>
      </c>
      <c r="M37" s="398" t="e">
        <f t="shared" si="15"/>
        <v>#REF!</v>
      </c>
      <c r="N37" s="391">
        <v>5</v>
      </c>
      <c r="O37" s="398"/>
      <c r="P37" s="391"/>
      <c r="Q37" s="398" t="e">
        <f t="shared" si="16"/>
        <v>#REF!</v>
      </c>
      <c r="R37" s="397">
        <f t="shared" si="9"/>
        <v>100</v>
      </c>
      <c r="T37" s="416" t="e">
        <f t="shared" si="3"/>
        <v>#REF!</v>
      </c>
    </row>
    <row r="38" spans="1:20" s="37" customFormat="1" x14ac:dyDescent="0.2">
      <c r="A38" s="392" t="e">
        <f>Orçam.!#REF!</f>
        <v>#REF!</v>
      </c>
      <c r="B38" s="422" t="e">
        <f>Orçam.!#REF!</f>
        <v>#REF!</v>
      </c>
      <c r="C38" s="398" t="e">
        <f>Orçam.!#REF!</f>
        <v>#REF!</v>
      </c>
      <c r="D38" s="399" t="e">
        <f t="shared" si="10"/>
        <v>#REF!</v>
      </c>
      <c r="E38" s="398" t="e">
        <f t="shared" si="11"/>
        <v>#REF!</v>
      </c>
      <c r="F38" s="391">
        <v>10</v>
      </c>
      <c r="G38" s="398" t="e">
        <f t="shared" si="12"/>
        <v>#REF!</v>
      </c>
      <c r="H38" s="397">
        <v>20</v>
      </c>
      <c r="I38" s="398" t="e">
        <f t="shared" si="13"/>
        <v>#REF!</v>
      </c>
      <c r="J38" s="391">
        <v>40</v>
      </c>
      <c r="K38" s="398" t="e">
        <f t="shared" si="14"/>
        <v>#REF!</v>
      </c>
      <c r="L38" s="391">
        <v>25</v>
      </c>
      <c r="M38" s="398" t="e">
        <f t="shared" si="15"/>
        <v>#REF!</v>
      </c>
      <c r="N38" s="391">
        <v>5</v>
      </c>
      <c r="O38" s="398"/>
      <c r="P38" s="391"/>
      <c r="Q38" s="398" t="e">
        <f t="shared" si="16"/>
        <v>#REF!</v>
      </c>
      <c r="R38" s="397">
        <f t="shared" si="9"/>
        <v>100</v>
      </c>
      <c r="T38" s="416" t="e">
        <f t="shared" si="3"/>
        <v>#REF!</v>
      </c>
    </row>
    <row r="39" spans="1:20" s="37" customFormat="1" x14ac:dyDescent="0.2">
      <c r="A39" s="392" t="e">
        <f>Orçam.!#REF!</f>
        <v>#REF!</v>
      </c>
      <c r="B39" s="422" t="e">
        <f>Orçam.!#REF!</f>
        <v>#REF!</v>
      </c>
      <c r="C39" s="398" t="e">
        <f>Orçam.!#REF!</f>
        <v>#REF!</v>
      </c>
      <c r="D39" s="399" t="e">
        <f t="shared" si="10"/>
        <v>#REF!</v>
      </c>
      <c r="E39" s="398" t="e">
        <f t="shared" si="11"/>
        <v>#REF!</v>
      </c>
      <c r="F39" s="391">
        <v>10</v>
      </c>
      <c r="G39" s="398" t="e">
        <f t="shared" si="12"/>
        <v>#REF!</v>
      </c>
      <c r="H39" s="397">
        <v>20</v>
      </c>
      <c r="I39" s="398" t="e">
        <f t="shared" si="13"/>
        <v>#REF!</v>
      </c>
      <c r="J39" s="391">
        <v>40</v>
      </c>
      <c r="K39" s="398" t="e">
        <f t="shared" si="14"/>
        <v>#REF!</v>
      </c>
      <c r="L39" s="391">
        <v>25</v>
      </c>
      <c r="M39" s="398" t="e">
        <f t="shared" si="15"/>
        <v>#REF!</v>
      </c>
      <c r="N39" s="391">
        <v>5</v>
      </c>
      <c r="O39" s="398"/>
      <c r="P39" s="391"/>
      <c r="Q39" s="398" t="e">
        <f t="shared" si="16"/>
        <v>#REF!</v>
      </c>
      <c r="R39" s="397">
        <f t="shared" si="9"/>
        <v>100</v>
      </c>
      <c r="T39" s="416" t="e">
        <f t="shared" si="3"/>
        <v>#REF!</v>
      </c>
    </row>
    <row r="40" spans="1:20" s="37" customFormat="1" x14ac:dyDescent="0.2">
      <c r="A40" s="392" t="e">
        <f>Orçam.!#REF!</f>
        <v>#REF!</v>
      </c>
      <c r="B40" s="422" t="e">
        <f>Orçam.!#REF!</f>
        <v>#REF!</v>
      </c>
      <c r="C40" s="398" t="e">
        <f>Orçam.!#REF!</f>
        <v>#REF!</v>
      </c>
      <c r="D40" s="399" t="e">
        <f t="shared" si="10"/>
        <v>#REF!</v>
      </c>
      <c r="E40" s="398" t="e">
        <f t="shared" si="11"/>
        <v>#REF!</v>
      </c>
      <c r="F40" s="391">
        <v>10</v>
      </c>
      <c r="G40" s="398" t="e">
        <f t="shared" si="12"/>
        <v>#REF!</v>
      </c>
      <c r="H40" s="397">
        <v>20</v>
      </c>
      <c r="I40" s="398" t="e">
        <f t="shared" si="13"/>
        <v>#REF!</v>
      </c>
      <c r="J40" s="391">
        <v>40</v>
      </c>
      <c r="K40" s="398" t="e">
        <f t="shared" si="14"/>
        <v>#REF!</v>
      </c>
      <c r="L40" s="391">
        <v>25</v>
      </c>
      <c r="M40" s="398" t="e">
        <f t="shared" si="15"/>
        <v>#REF!</v>
      </c>
      <c r="N40" s="391">
        <v>5</v>
      </c>
      <c r="O40" s="398"/>
      <c r="P40" s="391"/>
      <c r="Q40" s="398" t="e">
        <f t="shared" si="16"/>
        <v>#REF!</v>
      </c>
      <c r="R40" s="397">
        <f t="shared" si="9"/>
        <v>100</v>
      </c>
      <c r="T40" s="416" t="e">
        <f t="shared" si="3"/>
        <v>#REF!</v>
      </c>
    </row>
    <row r="41" spans="1:20" s="37" customFormat="1" x14ac:dyDescent="0.2">
      <c r="A41" s="392" t="e">
        <f>Orçam.!#REF!</f>
        <v>#REF!</v>
      </c>
      <c r="B41" s="422" t="e">
        <f>Orçam.!#REF!</f>
        <v>#REF!</v>
      </c>
      <c r="C41" s="398" t="e">
        <f>Orçam.!#REF!</f>
        <v>#REF!</v>
      </c>
      <c r="D41" s="399" t="e">
        <f t="shared" si="10"/>
        <v>#REF!</v>
      </c>
      <c r="E41" s="398" t="e">
        <f t="shared" si="11"/>
        <v>#REF!</v>
      </c>
      <c r="F41" s="391">
        <v>10</v>
      </c>
      <c r="G41" s="398" t="e">
        <f t="shared" si="12"/>
        <v>#REF!</v>
      </c>
      <c r="H41" s="397">
        <v>20</v>
      </c>
      <c r="I41" s="398" t="e">
        <f t="shared" si="13"/>
        <v>#REF!</v>
      </c>
      <c r="J41" s="391">
        <v>40</v>
      </c>
      <c r="K41" s="398" t="e">
        <f t="shared" si="14"/>
        <v>#REF!</v>
      </c>
      <c r="L41" s="391">
        <v>25</v>
      </c>
      <c r="M41" s="398" t="e">
        <f t="shared" si="15"/>
        <v>#REF!</v>
      </c>
      <c r="N41" s="391">
        <v>5</v>
      </c>
      <c r="O41" s="398"/>
      <c r="P41" s="391"/>
      <c r="Q41" s="398" t="e">
        <f t="shared" si="16"/>
        <v>#REF!</v>
      </c>
      <c r="R41" s="397">
        <f t="shared" si="9"/>
        <v>100</v>
      </c>
      <c r="T41" s="416" t="e">
        <f>C41-Q41</f>
        <v>#REF!</v>
      </c>
    </row>
    <row r="42" spans="1:20" s="37" customFormat="1" x14ac:dyDescent="0.2">
      <c r="A42" s="392" t="e">
        <f>Orçam.!#REF!</f>
        <v>#REF!</v>
      </c>
      <c r="B42" s="422" t="e">
        <f>Orçam.!#REF!</f>
        <v>#REF!</v>
      </c>
      <c r="C42" s="398" t="e">
        <f>Orçam.!#REF!</f>
        <v>#REF!</v>
      </c>
      <c r="D42" s="399" t="e">
        <f t="shared" si="10"/>
        <v>#REF!</v>
      </c>
      <c r="E42" s="398" t="e">
        <f t="shared" si="11"/>
        <v>#REF!</v>
      </c>
      <c r="F42" s="391">
        <v>10</v>
      </c>
      <c r="G42" s="398" t="e">
        <f t="shared" si="12"/>
        <v>#REF!</v>
      </c>
      <c r="H42" s="397">
        <v>20</v>
      </c>
      <c r="I42" s="398" t="e">
        <f t="shared" si="13"/>
        <v>#REF!</v>
      </c>
      <c r="J42" s="391">
        <v>40</v>
      </c>
      <c r="K42" s="398" t="e">
        <f t="shared" si="14"/>
        <v>#REF!</v>
      </c>
      <c r="L42" s="391">
        <v>25</v>
      </c>
      <c r="M42" s="398" t="e">
        <f t="shared" si="15"/>
        <v>#REF!</v>
      </c>
      <c r="N42" s="391">
        <v>5</v>
      </c>
      <c r="O42" s="398"/>
      <c r="P42" s="391"/>
      <c r="Q42" s="398" t="e">
        <f t="shared" si="16"/>
        <v>#REF!</v>
      </c>
      <c r="R42" s="397">
        <f t="shared" si="9"/>
        <v>100</v>
      </c>
      <c r="T42" s="416" t="e">
        <f t="shared" si="3"/>
        <v>#REF!</v>
      </c>
    </row>
    <row r="43" spans="1:20" s="37" customFormat="1" x14ac:dyDescent="0.2">
      <c r="A43" s="392" t="e">
        <f>Orçam.!#REF!</f>
        <v>#REF!</v>
      </c>
      <c r="B43" s="422" t="e">
        <f>Orçam.!#REF!</f>
        <v>#REF!</v>
      </c>
      <c r="C43" s="398" t="e">
        <f>Orçam.!#REF!</f>
        <v>#REF!</v>
      </c>
      <c r="D43" s="399" t="e">
        <f t="shared" si="10"/>
        <v>#REF!</v>
      </c>
      <c r="E43" s="398" t="e">
        <f t="shared" si="11"/>
        <v>#REF!</v>
      </c>
      <c r="F43" s="391">
        <v>10</v>
      </c>
      <c r="G43" s="398" t="e">
        <f t="shared" si="12"/>
        <v>#REF!</v>
      </c>
      <c r="H43" s="397">
        <v>20</v>
      </c>
      <c r="I43" s="398" t="e">
        <f t="shared" si="13"/>
        <v>#REF!</v>
      </c>
      <c r="J43" s="391">
        <v>40</v>
      </c>
      <c r="K43" s="398" t="e">
        <f t="shared" si="14"/>
        <v>#REF!</v>
      </c>
      <c r="L43" s="391">
        <v>25</v>
      </c>
      <c r="M43" s="398" t="e">
        <f t="shared" si="15"/>
        <v>#REF!</v>
      </c>
      <c r="N43" s="391">
        <v>5</v>
      </c>
      <c r="O43" s="398"/>
      <c r="P43" s="391"/>
      <c r="Q43" s="398" t="e">
        <f t="shared" si="16"/>
        <v>#REF!</v>
      </c>
      <c r="R43" s="397">
        <f t="shared" si="9"/>
        <v>100</v>
      </c>
      <c r="T43" s="416" t="e">
        <f t="shared" si="3"/>
        <v>#REF!</v>
      </c>
    </row>
    <row r="44" spans="1:20" s="37" customFormat="1" x14ac:dyDescent="0.2">
      <c r="A44" s="388" t="e">
        <f>Resumo!#REF!</f>
        <v>#REF!</v>
      </c>
      <c r="B44" s="419" t="e">
        <f>Resumo!#REF!</f>
        <v>#REF!</v>
      </c>
      <c r="C44" s="394"/>
      <c r="D44" s="399"/>
      <c r="E44" s="398"/>
      <c r="F44" s="391"/>
      <c r="G44" s="398"/>
      <c r="H44" s="397"/>
      <c r="I44" s="398"/>
      <c r="J44" s="391"/>
      <c r="K44" s="398"/>
      <c r="L44" s="391"/>
      <c r="M44" s="398"/>
      <c r="N44" s="391"/>
      <c r="O44" s="398"/>
      <c r="P44" s="391"/>
      <c r="Q44" s="398"/>
      <c r="R44" s="397"/>
      <c r="T44" s="416">
        <f t="shared" si="3"/>
        <v>0</v>
      </c>
    </row>
    <row r="45" spans="1:20" s="37" customFormat="1" x14ac:dyDescent="0.2">
      <c r="A45" s="391" t="e">
        <f>Orçam.!#REF!</f>
        <v>#REF!</v>
      </c>
      <c r="B45" s="422" t="e">
        <f>Orçam.!#REF!</f>
        <v>#REF!</v>
      </c>
      <c r="C45" s="398" t="e">
        <f>Orçam.!#REF!</f>
        <v>#REF!</v>
      </c>
      <c r="D45" s="399" t="e">
        <f t="shared" ref="D45:D51" si="17">C45/$C$85</f>
        <v>#REF!</v>
      </c>
      <c r="E45" s="398" t="e">
        <f t="shared" ref="E45:E51" si="18">$C45*F45/100</f>
        <v>#REF!</v>
      </c>
      <c r="F45" s="391">
        <v>10</v>
      </c>
      <c r="G45" s="398" t="e">
        <f t="shared" ref="G45:G51" si="19">$C45*H45/100</f>
        <v>#REF!</v>
      </c>
      <c r="H45" s="397">
        <v>20</v>
      </c>
      <c r="I45" s="398" t="e">
        <f t="shared" ref="I45:I51" si="20">$C45*J45/100</f>
        <v>#REF!</v>
      </c>
      <c r="J45" s="391">
        <v>40</v>
      </c>
      <c r="K45" s="398" t="e">
        <f t="shared" ref="K45:K51" si="21">$C45*L45/100</f>
        <v>#REF!</v>
      </c>
      <c r="L45" s="391">
        <v>20</v>
      </c>
      <c r="M45" s="398" t="e">
        <f t="shared" ref="M45:M46" si="22">$C45*N45/100-0.01</f>
        <v>#REF!</v>
      </c>
      <c r="N45" s="391">
        <v>10</v>
      </c>
      <c r="O45" s="398"/>
      <c r="P45" s="391"/>
      <c r="Q45" s="398" t="e">
        <f t="shared" ref="Q45:Q51" si="23">E45+G45+I45+K45+M45+O45</f>
        <v>#REF!</v>
      </c>
      <c r="R45" s="397">
        <f t="shared" si="9"/>
        <v>100</v>
      </c>
      <c r="T45" s="416" t="e">
        <f t="shared" si="3"/>
        <v>#REF!</v>
      </c>
    </row>
    <row r="46" spans="1:20" s="37" customFormat="1" x14ac:dyDescent="0.2">
      <c r="A46" s="391" t="e">
        <f>Orçam.!#REF!</f>
        <v>#REF!</v>
      </c>
      <c r="B46" s="422" t="e">
        <f>Orçam.!#REF!</f>
        <v>#REF!</v>
      </c>
      <c r="C46" s="398" t="e">
        <f>Orçam.!#REF!</f>
        <v>#REF!</v>
      </c>
      <c r="D46" s="399" t="e">
        <f t="shared" si="17"/>
        <v>#REF!</v>
      </c>
      <c r="E46" s="398" t="e">
        <f t="shared" si="18"/>
        <v>#REF!</v>
      </c>
      <c r="F46" s="391">
        <v>10</v>
      </c>
      <c r="G46" s="398" t="e">
        <f t="shared" si="19"/>
        <v>#REF!</v>
      </c>
      <c r="H46" s="397">
        <v>20</v>
      </c>
      <c r="I46" s="398" t="e">
        <f t="shared" si="20"/>
        <v>#REF!</v>
      </c>
      <c r="J46" s="391">
        <v>40</v>
      </c>
      <c r="K46" s="398" t="e">
        <f t="shared" si="21"/>
        <v>#REF!</v>
      </c>
      <c r="L46" s="391">
        <v>20</v>
      </c>
      <c r="M46" s="398" t="e">
        <f t="shared" si="22"/>
        <v>#REF!</v>
      </c>
      <c r="N46" s="391">
        <v>10</v>
      </c>
      <c r="O46" s="398"/>
      <c r="P46" s="391"/>
      <c r="Q46" s="398" t="e">
        <f t="shared" si="23"/>
        <v>#REF!</v>
      </c>
      <c r="R46" s="397">
        <f t="shared" si="9"/>
        <v>100</v>
      </c>
      <c r="T46" s="416" t="e">
        <f t="shared" si="3"/>
        <v>#REF!</v>
      </c>
    </row>
    <row r="47" spans="1:20" s="37" customFormat="1" x14ac:dyDescent="0.2">
      <c r="A47" s="391" t="e">
        <f>Orçam.!#REF!</f>
        <v>#REF!</v>
      </c>
      <c r="B47" s="422" t="e">
        <f>Orçam.!#REF!</f>
        <v>#REF!</v>
      </c>
      <c r="C47" s="398" t="e">
        <f>Orçam.!#REF!</f>
        <v>#REF!</v>
      </c>
      <c r="D47" s="399" t="e">
        <f t="shared" si="17"/>
        <v>#REF!</v>
      </c>
      <c r="E47" s="398" t="e">
        <f t="shared" si="18"/>
        <v>#REF!</v>
      </c>
      <c r="F47" s="391">
        <v>10</v>
      </c>
      <c r="G47" s="398" t="e">
        <f t="shared" si="19"/>
        <v>#REF!</v>
      </c>
      <c r="H47" s="397">
        <v>20</v>
      </c>
      <c r="I47" s="398" t="e">
        <f t="shared" si="20"/>
        <v>#REF!</v>
      </c>
      <c r="J47" s="391">
        <v>40</v>
      </c>
      <c r="K47" s="398" t="e">
        <f t="shared" si="21"/>
        <v>#REF!</v>
      </c>
      <c r="L47" s="391">
        <v>20</v>
      </c>
      <c r="M47" s="398" t="e">
        <f>$C47*N47/100</f>
        <v>#REF!</v>
      </c>
      <c r="N47" s="391">
        <v>10</v>
      </c>
      <c r="O47" s="398"/>
      <c r="P47" s="391"/>
      <c r="Q47" s="398" t="e">
        <f t="shared" si="23"/>
        <v>#REF!</v>
      </c>
      <c r="R47" s="397">
        <f t="shared" si="9"/>
        <v>100</v>
      </c>
      <c r="T47" s="416" t="e">
        <f t="shared" si="3"/>
        <v>#REF!</v>
      </c>
    </row>
    <row r="48" spans="1:20" s="37" customFormat="1" x14ac:dyDescent="0.2">
      <c r="A48" s="391" t="e">
        <f>Orçam.!#REF!</f>
        <v>#REF!</v>
      </c>
      <c r="B48" s="422" t="e">
        <f>Orçam.!#REF!</f>
        <v>#REF!</v>
      </c>
      <c r="C48" s="398" t="e">
        <f>Orçam.!#REF!</f>
        <v>#REF!</v>
      </c>
      <c r="D48" s="399" t="e">
        <f t="shared" si="17"/>
        <v>#REF!</v>
      </c>
      <c r="E48" s="398" t="e">
        <f t="shared" si="18"/>
        <v>#REF!</v>
      </c>
      <c r="F48" s="391">
        <v>10</v>
      </c>
      <c r="G48" s="398" t="e">
        <f t="shared" si="19"/>
        <v>#REF!</v>
      </c>
      <c r="H48" s="397">
        <v>20</v>
      </c>
      <c r="I48" s="398" t="e">
        <f t="shared" si="20"/>
        <v>#REF!</v>
      </c>
      <c r="J48" s="391">
        <v>40</v>
      </c>
      <c r="K48" s="398" t="e">
        <f t="shared" si="21"/>
        <v>#REF!</v>
      </c>
      <c r="L48" s="391">
        <v>20</v>
      </c>
      <c r="M48" s="398" t="e">
        <f>$C48*N48/100</f>
        <v>#REF!</v>
      </c>
      <c r="N48" s="391">
        <v>10</v>
      </c>
      <c r="O48" s="398"/>
      <c r="P48" s="391"/>
      <c r="Q48" s="398" t="e">
        <f t="shared" si="23"/>
        <v>#REF!</v>
      </c>
      <c r="R48" s="397">
        <f t="shared" si="9"/>
        <v>100</v>
      </c>
      <c r="T48" s="416" t="e">
        <f t="shared" si="3"/>
        <v>#REF!</v>
      </c>
    </row>
    <row r="49" spans="1:20" s="37" customFormat="1" x14ac:dyDescent="0.2">
      <c r="A49" s="391" t="e">
        <f>Orçam.!#REF!</f>
        <v>#REF!</v>
      </c>
      <c r="B49" s="422" t="e">
        <f>Orçam.!#REF!</f>
        <v>#REF!</v>
      </c>
      <c r="C49" s="398" t="e">
        <f>Orçam.!#REF!</f>
        <v>#REF!</v>
      </c>
      <c r="D49" s="399" t="e">
        <f t="shared" si="17"/>
        <v>#REF!</v>
      </c>
      <c r="E49" s="398" t="e">
        <f t="shared" si="18"/>
        <v>#REF!</v>
      </c>
      <c r="F49" s="391">
        <v>10</v>
      </c>
      <c r="G49" s="398" t="e">
        <f t="shared" si="19"/>
        <v>#REF!</v>
      </c>
      <c r="H49" s="397">
        <v>20</v>
      </c>
      <c r="I49" s="398" t="e">
        <f t="shared" si="20"/>
        <v>#REF!</v>
      </c>
      <c r="J49" s="391">
        <v>40</v>
      </c>
      <c r="K49" s="398" t="e">
        <f t="shared" si="21"/>
        <v>#REF!</v>
      </c>
      <c r="L49" s="391">
        <v>20</v>
      </c>
      <c r="M49" s="398" t="e">
        <f>$C49*N49/100</f>
        <v>#REF!</v>
      </c>
      <c r="N49" s="391">
        <v>10</v>
      </c>
      <c r="O49" s="398"/>
      <c r="P49" s="391"/>
      <c r="Q49" s="398" t="e">
        <f t="shared" si="23"/>
        <v>#REF!</v>
      </c>
      <c r="R49" s="397">
        <f t="shared" si="9"/>
        <v>100</v>
      </c>
      <c r="T49" s="416" t="e">
        <f t="shared" si="3"/>
        <v>#REF!</v>
      </c>
    </row>
    <row r="50" spans="1:20" s="37" customFormat="1" x14ac:dyDescent="0.2">
      <c r="A50" s="391" t="e">
        <f>Orçam.!#REF!</f>
        <v>#REF!</v>
      </c>
      <c r="B50" s="422" t="e">
        <f>Orçam.!#REF!</f>
        <v>#REF!</v>
      </c>
      <c r="C50" s="398" t="e">
        <f>Orçam.!#REF!</f>
        <v>#REF!</v>
      </c>
      <c r="D50" s="399" t="e">
        <f t="shared" si="17"/>
        <v>#REF!</v>
      </c>
      <c r="E50" s="398" t="e">
        <f t="shared" si="18"/>
        <v>#REF!</v>
      </c>
      <c r="F50" s="391">
        <v>10</v>
      </c>
      <c r="G50" s="398" t="e">
        <f t="shared" si="19"/>
        <v>#REF!</v>
      </c>
      <c r="H50" s="397">
        <v>20</v>
      </c>
      <c r="I50" s="398" t="e">
        <f t="shared" si="20"/>
        <v>#REF!</v>
      </c>
      <c r="J50" s="391">
        <v>40</v>
      </c>
      <c r="K50" s="398" t="e">
        <f t="shared" si="21"/>
        <v>#REF!</v>
      </c>
      <c r="L50" s="391">
        <v>20</v>
      </c>
      <c r="M50" s="398" t="e">
        <f>$C50*N50/100</f>
        <v>#REF!</v>
      </c>
      <c r="N50" s="391">
        <v>10</v>
      </c>
      <c r="O50" s="398"/>
      <c r="P50" s="391"/>
      <c r="Q50" s="398" t="e">
        <f t="shared" si="23"/>
        <v>#REF!</v>
      </c>
      <c r="R50" s="397">
        <f t="shared" si="9"/>
        <v>100</v>
      </c>
      <c r="T50" s="416" t="e">
        <f t="shared" si="3"/>
        <v>#REF!</v>
      </c>
    </row>
    <row r="51" spans="1:20" s="37" customFormat="1" x14ac:dyDescent="0.2">
      <c r="A51" s="391" t="e">
        <f>Orçam.!#REF!</f>
        <v>#REF!</v>
      </c>
      <c r="B51" s="422" t="e">
        <f>Orçam.!#REF!</f>
        <v>#REF!</v>
      </c>
      <c r="C51" s="398" t="e">
        <f>Orçam.!#REF!</f>
        <v>#REF!</v>
      </c>
      <c r="D51" s="399" t="e">
        <f t="shared" si="17"/>
        <v>#REF!</v>
      </c>
      <c r="E51" s="398" t="e">
        <f t="shared" si="18"/>
        <v>#REF!</v>
      </c>
      <c r="F51" s="391">
        <v>10</v>
      </c>
      <c r="G51" s="398" t="e">
        <f t="shared" si="19"/>
        <v>#REF!</v>
      </c>
      <c r="H51" s="397">
        <v>20</v>
      </c>
      <c r="I51" s="398" t="e">
        <f t="shared" si="20"/>
        <v>#REF!</v>
      </c>
      <c r="J51" s="391">
        <v>40</v>
      </c>
      <c r="K51" s="398" t="e">
        <f t="shared" si="21"/>
        <v>#REF!</v>
      </c>
      <c r="L51" s="391">
        <v>20</v>
      </c>
      <c r="M51" s="398" t="e">
        <f>$C51*N51/100</f>
        <v>#REF!</v>
      </c>
      <c r="N51" s="391">
        <v>10</v>
      </c>
      <c r="O51" s="398"/>
      <c r="P51" s="391"/>
      <c r="Q51" s="398" t="e">
        <f t="shared" si="23"/>
        <v>#REF!</v>
      </c>
      <c r="R51" s="397">
        <f t="shared" si="9"/>
        <v>100</v>
      </c>
      <c r="T51" s="416" t="e">
        <f t="shared" si="3"/>
        <v>#REF!</v>
      </c>
    </row>
    <row r="52" spans="1:20" s="37" customFormat="1" x14ac:dyDescent="0.2">
      <c r="A52" s="388" t="e">
        <f>Resumo!#REF!</f>
        <v>#REF!</v>
      </c>
      <c r="B52" s="419" t="e">
        <f>Resumo!#REF!</f>
        <v>#REF!</v>
      </c>
      <c r="C52" s="394"/>
      <c r="D52" s="399"/>
      <c r="E52" s="398"/>
      <c r="F52" s="391"/>
      <c r="G52" s="398"/>
      <c r="H52" s="397"/>
      <c r="I52" s="398"/>
      <c r="J52" s="391"/>
      <c r="K52" s="398"/>
      <c r="L52" s="391"/>
      <c r="M52" s="398"/>
      <c r="N52" s="391"/>
      <c r="O52" s="398"/>
      <c r="P52" s="391"/>
      <c r="Q52" s="398"/>
      <c r="R52" s="397"/>
      <c r="T52" s="416">
        <f t="shared" si="3"/>
        <v>0</v>
      </c>
    </row>
    <row r="53" spans="1:20" s="37" customFormat="1" x14ac:dyDescent="0.2">
      <c r="A53" s="391" t="e">
        <f>Orçam.!#REF!</f>
        <v>#REF!</v>
      </c>
      <c r="B53" s="420" t="e">
        <f>Orçam.!#REF!</f>
        <v>#REF!</v>
      </c>
      <c r="C53" s="398" t="e">
        <f>Orçam.!#REF!</f>
        <v>#REF!</v>
      </c>
      <c r="D53" s="399" t="e">
        <f>C53/$C$85</f>
        <v>#REF!</v>
      </c>
      <c r="E53" s="398" t="e">
        <f>$C53*F53/100</f>
        <v>#REF!</v>
      </c>
      <c r="F53" s="391">
        <v>100</v>
      </c>
      <c r="G53" s="398"/>
      <c r="H53" s="397"/>
      <c r="I53" s="398"/>
      <c r="J53" s="391"/>
      <c r="K53" s="398"/>
      <c r="L53" s="391"/>
      <c r="M53" s="398"/>
      <c r="N53" s="391"/>
      <c r="O53" s="398"/>
      <c r="P53" s="391"/>
      <c r="Q53" s="398" t="e">
        <f t="shared" ref="Q53" si="24">E53+G53+I53+K53+M53+O53</f>
        <v>#REF!</v>
      </c>
      <c r="R53" s="397">
        <f t="shared" si="9"/>
        <v>100</v>
      </c>
      <c r="T53" s="416" t="e">
        <f t="shared" si="3"/>
        <v>#REF!</v>
      </c>
    </row>
    <row r="54" spans="1:20" s="37" customFormat="1" x14ac:dyDescent="0.2">
      <c r="A54" s="391"/>
      <c r="B54" s="420"/>
      <c r="C54" s="398"/>
      <c r="D54" s="399"/>
      <c r="E54" s="398"/>
      <c r="F54" s="391"/>
      <c r="G54" s="398"/>
      <c r="H54" s="397"/>
      <c r="I54" s="398"/>
      <c r="J54" s="391"/>
      <c r="K54" s="398"/>
      <c r="L54" s="391"/>
      <c r="M54" s="398"/>
      <c r="N54" s="391"/>
      <c r="O54" s="398"/>
      <c r="P54" s="391"/>
      <c r="Q54" s="398"/>
      <c r="R54" s="397"/>
      <c r="T54" s="416">
        <f>C54-Q54</f>
        <v>0</v>
      </c>
    </row>
    <row r="55" spans="1:20" s="383" customFormat="1" x14ac:dyDescent="0.2">
      <c r="A55" s="388">
        <f>Resumo!A14</f>
        <v>3</v>
      </c>
      <c r="B55" s="419" t="str">
        <f>Resumo!B14</f>
        <v>PAVIMENTAÇÃO EM TSD</v>
      </c>
      <c r="C55" s="394"/>
      <c r="D55" s="399"/>
      <c r="E55" s="394"/>
      <c r="F55" s="388"/>
      <c r="G55" s="394"/>
      <c r="H55" s="396"/>
      <c r="I55" s="394"/>
      <c r="J55" s="388"/>
      <c r="K55" s="394"/>
      <c r="L55" s="388"/>
      <c r="M55" s="394"/>
      <c r="N55" s="388"/>
      <c r="O55" s="394"/>
      <c r="P55" s="388"/>
      <c r="Q55" s="394"/>
      <c r="R55" s="397"/>
      <c r="T55" s="416">
        <f t="shared" si="3"/>
        <v>0</v>
      </c>
    </row>
    <row r="56" spans="1:20" s="37" customFormat="1" x14ac:dyDescent="0.2">
      <c r="A56" s="388" t="str">
        <f>Resumo!A15</f>
        <v>3.1</v>
      </c>
      <c r="B56" s="421" t="str">
        <f>Resumo!B15</f>
        <v>TERRAPLENAGEM</v>
      </c>
      <c r="C56" s="398"/>
      <c r="D56" s="399"/>
      <c r="E56" s="398"/>
      <c r="F56" s="391"/>
      <c r="G56" s="398"/>
      <c r="H56" s="397"/>
      <c r="I56" s="398"/>
      <c r="J56" s="391"/>
      <c r="K56" s="398"/>
      <c r="L56" s="391"/>
      <c r="M56" s="398"/>
      <c r="N56" s="391"/>
      <c r="O56" s="398"/>
      <c r="P56" s="391"/>
      <c r="Q56" s="398"/>
      <c r="R56" s="397"/>
      <c r="T56" s="416">
        <f t="shared" si="3"/>
        <v>0</v>
      </c>
    </row>
    <row r="57" spans="1:20" s="37" customFormat="1" ht="25.5" x14ac:dyDescent="0.2">
      <c r="A57" s="391" t="str">
        <f>Orçam.!A18</f>
        <v>3.1.1</v>
      </c>
      <c r="B57" s="422" t="str">
        <f>Orçam.!D18</f>
        <v>SERVICOS TOPOGRAFICOS PARA PAVIMENTACAO, INCLUSIVE NOTA DE SERVICOS, ACOMPANHAMENTO E GREIDE</v>
      </c>
      <c r="C57" s="398">
        <f>Orçam.!J18</f>
        <v>0</v>
      </c>
      <c r="D57" s="399" t="e">
        <f>C57/$C$85</f>
        <v>#REF!</v>
      </c>
      <c r="E57" s="398">
        <f t="shared" ref="E57:E60" si="25">$C57*F57/100</f>
        <v>0</v>
      </c>
      <c r="F57" s="391">
        <v>50</v>
      </c>
      <c r="G57" s="398">
        <f t="shared" ref="G57:G60" si="26">$C57*H57/100</f>
        <v>0</v>
      </c>
      <c r="H57" s="397">
        <v>30</v>
      </c>
      <c r="I57" s="398">
        <f t="shared" ref="I57:I60" si="27">$C57*J57/100</f>
        <v>0</v>
      </c>
      <c r="J57" s="391">
        <v>20</v>
      </c>
      <c r="K57" s="398"/>
      <c r="L57" s="391"/>
      <c r="M57" s="398"/>
      <c r="N57" s="391"/>
      <c r="O57" s="398"/>
      <c r="P57" s="391"/>
      <c r="Q57" s="398">
        <f t="shared" ref="Q57:R72" si="28">E57+G57+I57+K57+M57+O57</f>
        <v>0</v>
      </c>
      <c r="R57" s="397">
        <f t="shared" si="28"/>
        <v>100</v>
      </c>
      <c r="T57" s="416">
        <f t="shared" si="3"/>
        <v>0</v>
      </c>
    </row>
    <row r="58" spans="1:20" s="37" customFormat="1" ht="25.5" x14ac:dyDescent="0.2">
      <c r="A58" s="391" t="str">
        <f>Orçam.!A19</f>
        <v>3.1.1</v>
      </c>
      <c r="B58" s="422" t="str">
        <f>Orçam.!D19</f>
        <v>ESCAVACAO MECANICA DE MATERIAL 1A. CATEGORIA, PROVENIENTE DE CORTE DE SUBLEITO (C/TRATOR ESTEIRAS 160HP)</v>
      </c>
      <c r="C58" s="398">
        <f>Orçam.!J19</f>
        <v>2944.45</v>
      </c>
      <c r="D58" s="399" t="e">
        <f>C58/$C$85</f>
        <v>#REF!</v>
      </c>
      <c r="E58" s="398">
        <f t="shared" si="25"/>
        <v>1472.23</v>
      </c>
      <c r="F58" s="391">
        <v>50</v>
      </c>
      <c r="G58" s="398">
        <f t="shared" si="26"/>
        <v>883.34</v>
      </c>
      <c r="H58" s="397">
        <v>30</v>
      </c>
      <c r="I58" s="398">
        <f>$C58*J58/100-0.01</f>
        <v>588.88</v>
      </c>
      <c r="J58" s="391">
        <v>20</v>
      </c>
      <c r="K58" s="398"/>
      <c r="L58" s="391"/>
      <c r="M58" s="398"/>
      <c r="N58" s="391"/>
      <c r="O58" s="398"/>
      <c r="P58" s="391"/>
      <c r="Q58" s="398">
        <f t="shared" si="28"/>
        <v>2944.45</v>
      </c>
      <c r="R58" s="397">
        <f t="shared" si="28"/>
        <v>100</v>
      </c>
      <c r="T58" s="416">
        <f t="shared" si="3"/>
        <v>0</v>
      </c>
    </row>
    <row r="59" spans="1:20" s="37" customFormat="1" x14ac:dyDescent="0.2">
      <c r="A59" s="391" t="str">
        <f>Orçam.!A20</f>
        <v>3.1.2</v>
      </c>
      <c r="B59" s="422" t="str">
        <f>Orçam.!D20</f>
        <v>REATERRO E COMPACTAÇÃO</v>
      </c>
      <c r="C59" s="398">
        <f>Orçam.!J20</f>
        <v>0</v>
      </c>
      <c r="D59" s="399" t="e">
        <f>C59/$C$85</f>
        <v>#REF!</v>
      </c>
      <c r="E59" s="398">
        <f t="shared" si="25"/>
        <v>0</v>
      </c>
      <c r="F59" s="391">
        <v>50</v>
      </c>
      <c r="G59" s="398">
        <f t="shared" si="26"/>
        <v>0</v>
      </c>
      <c r="H59" s="397">
        <v>30</v>
      </c>
      <c r="I59" s="398">
        <f t="shared" si="27"/>
        <v>0</v>
      </c>
      <c r="J59" s="391">
        <v>20</v>
      </c>
      <c r="K59" s="398"/>
      <c r="L59" s="391"/>
      <c r="M59" s="398"/>
      <c r="N59" s="391"/>
      <c r="O59" s="398"/>
      <c r="P59" s="391"/>
      <c r="Q59" s="398">
        <f t="shared" si="28"/>
        <v>0</v>
      </c>
      <c r="R59" s="397">
        <f t="shared" si="28"/>
        <v>100</v>
      </c>
      <c r="T59" s="416">
        <f t="shared" si="3"/>
        <v>0</v>
      </c>
    </row>
    <row r="60" spans="1:20" s="37" customFormat="1" ht="25.5" x14ac:dyDescent="0.2">
      <c r="A60" s="391" t="str">
        <f>Orçam.!A21</f>
        <v>3.1.2</v>
      </c>
      <c r="B60" s="422" t="str">
        <f>Orçam.!D21</f>
        <v>TRANSPORTE COMERCIAL COM CAMINHAO CARROCERIA 9 T, RODOVIA COM REVESTIMENTO PRIMARIO - (BOTA FORA DE ATE 1,00 KM)</v>
      </c>
      <c r="C60" s="398">
        <f>Orçam.!J21</f>
        <v>2679.12</v>
      </c>
      <c r="D60" s="399" t="e">
        <f>C60/$C$85</f>
        <v>#REF!</v>
      </c>
      <c r="E60" s="398">
        <f t="shared" si="25"/>
        <v>1339.56</v>
      </c>
      <c r="F60" s="391">
        <v>50</v>
      </c>
      <c r="G60" s="398">
        <f t="shared" si="26"/>
        <v>803.74</v>
      </c>
      <c r="H60" s="397">
        <v>30</v>
      </c>
      <c r="I60" s="398">
        <f t="shared" si="27"/>
        <v>535.82000000000005</v>
      </c>
      <c r="J60" s="391">
        <v>20</v>
      </c>
      <c r="K60" s="398"/>
      <c r="L60" s="391"/>
      <c r="M60" s="398"/>
      <c r="N60" s="391"/>
      <c r="O60" s="398"/>
      <c r="P60" s="391"/>
      <c r="Q60" s="398">
        <f t="shared" si="28"/>
        <v>2679.12</v>
      </c>
      <c r="R60" s="397">
        <f t="shared" si="28"/>
        <v>100</v>
      </c>
      <c r="T60" s="416">
        <f t="shared" si="3"/>
        <v>0</v>
      </c>
    </row>
    <row r="61" spans="1:20" s="37" customFormat="1" x14ac:dyDescent="0.2">
      <c r="A61" s="388" t="str">
        <f>Resumo!A16</f>
        <v>3.2</v>
      </c>
      <c r="B61" s="421" t="str">
        <f>Resumo!B16</f>
        <v>PAVIMENTAÇÃO</v>
      </c>
      <c r="C61" s="394"/>
      <c r="D61" s="399"/>
      <c r="E61" s="398"/>
      <c r="F61" s="391"/>
      <c r="G61" s="398"/>
      <c r="H61" s="397"/>
      <c r="I61" s="398"/>
      <c r="J61" s="391"/>
      <c r="K61" s="398"/>
      <c r="L61" s="391"/>
      <c r="M61" s="398"/>
      <c r="N61" s="391"/>
      <c r="O61" s="398"/>
      <c r="P61" s="391"/>
      <c r="Q61" s="398"/>
      <c r="R61" s="397"/>
      <c r="T61" s="416">
        <f t="shared" si="3"/>
        <v>0</v>
      </c>
    </row>
    <row r="62" spans="1:20" s="37" customFormat="1" ht="25.5" x14ac:dyDescent="0.2">
      <c r="A62" s="392" t="str">
        <f>Orçam.!A24</f>
        <v>3.2.1</v>
      </c>
      <c r="B62" s="422" t="str">
        <f>Orçam.!D24</f>
        <v>REGULARIZACAO E COMPACTACAO DE SUBLEITO ATE 20 CM DE ESPESSURA</v>
      </c>
      <c r="C62" s="400">
        <f>Orçam.!J24</f>
        <v>6188.2</v>
      </c>
      <c r="D62" s="401" t="e">
        <f t="shared" ref="D62:D73" si="29">C62/$C$85</f>
        <v>#REF!</v>
      </c>
      <c r="E62" s="398">
        <f t="shared" ref="E62:E73" si="30">$C62*F62/100</f>
        <v>309.41000000000003</v>
      </c>
      <c r="F62" s="391">
        <v>5</v>
      </c>
      <c r="G62" s="398">
        <f t="shared" ref="G62:G73" si="31">$C62*H62/100</f>
        <v>1237.6400000000001</v>
      </c>
      <c r="H62" s="397">
        <v>20</v>
      </c>
      <c r="I62" s="398">
        <f t="shared" ref="I62:I73" si="32">$C62*J62/100</f>
        <v>1237.6400000000001</v>
      </c>
      <c r="J62" s="391">
        <v>20</v>
      </c>
      <c r="K62" s="398">
        <f t="shared" ref="K62:K73" si="33">$C62*L62/100</f>
        <v>1856.46</v>
      </c>
      <c r="L62" s="391">
        <v>30</v>
      </c>
      <c r="M62" s="398">
        <f t="shared" ref="M62:M73" si="34">$C62*N62/100</f>
        <v>928.23</v>
      </c>
      <c r="N62" s="391">
        <v>15</v>
      </c>
      <c r="O62" s="398">
        <f>$C62*P62/100-0.01</f>
        <v>618.80999999999995</v>
      </c>
      <c r="P62" s="391">
        <v>10</v>
      </c>
      <c r="Q62" s="398">
        <f t="shared" ref="Q62:R79" si="35">E62+G62+I62+K62+M62+O62</f>
        <v>6188.19</v>
      </c>
      <c r="R62" s="397">
        <f t="shared" si="28"/>
        <v>100</v>
      </c>
      <c r="T62" s="416">
        <f t="shared" si="3"/>
        <v>0.01</v>
      </c>
    </row>
    <row r="63" spans="1:20" s="37" customFormat="1" ht="38.25" x14ac:dyDescent="0.2">
      <c r="A63" s="392" t="str">
        <f>Orçam.!A25</f>
        <v>3.2.2</v>
      </c>
      <c r="B63" s="422" t="str">
        <f>Orçam.!D25</f>
        <v>ESCAVACAO E CARGA MATERIAL 1A CATEGORIA, UTILIZANDO TRATOR DE ESTEIRAS DE 110 A 160HP COM LAMINA, PESO OPERACIONAL * 13T E PA CARREGADEIRA COM 170 HP.</v>
      </c>
      <c r="C63" s="400">
        <f>Orçam.!J25</f>
        <v>5922.56</v>
      </c>
      <c r="D63" s="401" t="e">
        <f t="shared" si="29"/>
        <v>#REF!</v>
      </c>
      <c r="E63" s="398">
        <f t="shared" si="30"/>
        <v>296.13</v>
      </c>
      <c r="F63" s="391">
        <v>5</v>
      </c>
      <c r="G63" s="398">
        <f t="shared" si="31"/>
        <v>1184.51</v>
      </c>
      <c r="H63" s="397">
        <v>20</v>
      </c>
      <c r="I63" s="398">
        <f t="shared" si="32"/>
        <v>1184.51</v>
      </c>
      <c r="J63" s="391">
        <v>20</v>
      </c>
      <c r="K63" s="398">
        <f t="shared" si="33"/>
        <v>1776.77</v>
      </c>
      <c r="L63" s="391">
        <v>30</v>
      </c>
      <c r="M63" s="398">
        <f t="shared" si="34"/>
        <v>888.38</v>
      </c>
      <c r="N63" s="391">
        <v>15</v>
      </c>
      <c r="O63" s="398">
        <f>$C63*P63/100-0.01</f>
        <v>592.25</v>
      </c>
      <c r="P63" s="391">
        <v>10</v>
      </c>
      <c r="Q63" s="398">
        <f t="shared" si="35"/>
        <v>5922.55</v>
      </c>
      <c r="R63" s="397">
        <f t="shared" si="28"/>
        <v>100</v>
      </c>
      <c r="T63" s="416">
        <f t="shared" si="3"/>
        <v>0.01</v>
      </c>
    </row>
    <row r="64" spans="1:20" s="37" customFormat="1" ht="25.5" x14ac:dyDescent="0.2">
      <c r="A64" s="392" t="str">
        <f>Orçam.!A26</f>
        <v>3.2.3</v>
      </c>
      <c r="B64" s="422" t="str">
        <f>Orçam.!D26</f>
        <v>TRANSPORTE COMERCIAL COM CAMINHAO BASCULANTE 6 M3, RODOVIA COM REVESTIMENTO PRIMARIO - JAZIDA 23,60KM</v>
      </c>
      <c r="C64" s="400">
        <f>Orçam.!J26</f>
        <v>62054.55</v>
      </c>
      <c r="D64" s="401" t="e">
        <f t="shared" si="29"/>
        <v>#REF!</v>
      </c>
      <c r="E64" s="398">
        <f t="shared" si="30"/>
        <v>3102.73</v>
      </c>
      <c r="F64" s="391">
        <v>5</v>
      </c>
      <c r="G64" s="398">
        <f t="shared" si="31"/>
        <v>12410.91</v>
      </c>
      <c r="H64" s="397">
        <v>20</v>
      </c>
      <c r="I64" s="398">
        <f t="shared" si="32"/>
        <v>12410.91</v>
      </c>
      <c r="J64" s="391">
        <v>20</v>
      </c>
      <c r="K64" s="398">
        <f t="shared" si="33"/>
        <v>18616.37</v>
      </c>
      <c r="L64" s="391">
        <v>30</v>
      </c>
      <c r="M64" s="398">
        <f t="shared" si="34"/>
        <v>9308.18</v>
      </c>
      <c r="N64" s="391">
        <v>15</v>
      </c>
      <c r="O64" s="398">
        <f>$C64*P64/100</f>
        <v>6205.46</v>
      </c>
      <c r="P64" s="391">
        <v>10</v>
      </c>
      <c r="Q64" s="398">
        <f t="shared" si="35"/>
        <v>62054.559999999998</v>
      </c>
      <c r="R64" s="397">
        <f t="shared" si="28"/>
        <v>100</v>
      </c>
      <c r="T64" s="416">
        <f t="shared" si="3"/>
        <v>-0.01</v>
      </c>
    </row>
    <row r="65" spans="1:20" s="37" customFormat="1" ht="38.25" x14ac:dyDescent="0.2">
      <c r="A65" s="392" t="str">
        <f>Orçam.!A28</f>
        <v>3.2.5</v>
      </c>
      <c r="B65" s="422" t="str">
        <f>Orçam.!D28</f>
        <v>EXECUÇÃO E COMPACTAÇÃO DE SUB BASE COM SOLO ESTABILIZADO GRANULOMETRICAMENTE - EXCLUSIVE ESCAVAÇÃO, CARGA E TRANSPORTE E SOLO. AF_09/2017</v>
      </c>
      <c r="C65" s="400">
        <f>Orçam.!J28</f>
        <v>6285.3</v>
      </c>
      <c r="D65" s="401" t="e">
        <f t="shared" si="29"/>
        <v>#REF!</v>
      </c>
      <c r="E65" s="398">
        <f t="shared" si="30"/>
        <v>314.27</v>
      </c>
      <c r="F65" s="391">
        <v>5</v>
      </c>
      <c r="G65" s="398">
        <f t="shared" si="31"/>
        <v>1257.06</v>
      </c>
      <c r="H65" s="397">
        <v>20</v>
      </c>
      <c r="I65" s="398">
        <f t="shared" si="32"/>
        <v>1257.06</v>
      </c>
      <c r="J65" s="391">
        <v>20</v>
      </c>
      <c r="K65" s="398">
        <f t="shared" si="33"/>
        <v>1885.59</v>
      </c>
      <c r="L65" s="391">
        <v>30</v>
      </c>
      <c r="M65" s="398">
        <f t="shared" si="34"/>
        <v>942.8</v>
      </c>
      <c r="N65" s="391">
        <v>15</v>
      </c>
      <c r="O65" s="398">
        <f>$C65*P65/100</f>
        <v>628.53</v>
      </c>
      <c r="P65" s="391">
        <v>10</v>
      </c>
      <c r="Q65" s="398">
        <f t="shared" si="35"/>
        <v>6285.31</v>
      </c>
      <c r="R65" s="397">
        <f t="shared" si="28"/>
        <v>100</v>
      </c>
      <c r="T65" s="416">
        <f t="shared" si="3"/>
        <v>-0.01</v>
      </c>
    </row>
    <row r="66" spans="1:20" s="37" customFormat="1" ht="38.25" x14ac:dyDescent="0.2">
      <c r="A66" s="392" t="str">
        <f>Orçam.!A29</f>
        <v>3.2.6</v>
      </c>
      <c r="B66" s="422" t="str">
        <f>Orçam.!D29</f>
        <v>EXECUÇÃO E COMPACTAÇÃO DE BASE COM SOLO ESTABILIZADO GRANULOMETRICAMENTE - EXCLUSIVE ESCAVAÇÃO, CARGA E TRANSPORTE E SOLO. AF_09/2017</v>
      </c>
      <c r="C66" s="400">
        <f>Orçam.!J29</f>
        <v>6052.05</v>
      </c>
      <c r="D66" s="401" t="e">
        <f t="shared" si="29"/>
        <v>#REF!</v>
      </c>
      <c r="E66" s="398">
        <f t="shared" si="30"/>
        <v>302.60000000000002</v>
      </c>
      <c r="F66" s="391">
        <v>5</v>
      </c>
      <c r="G66" s="398">
        <f t="shared" si="31"/>
        <v>1210.4100000000001</v>
      </c>
      <c r="H66" s="397">
        <v>20</v>
      </c>
      <c r="I66" s="398">
        <f t="shared" si="32"/>
        <v>1210.4100000000001</v>
      </c>
      <c r="J66" s="391">
        <v>20</v>
      </c>
      <c r="K66" s="398">
        <f t="shared" si="33"/>
        <v>1815.62</v>
      </c>
      <c r="L66" s="391">
        <v>30</v>
      </c>
      <c r="M66" s="398">
        <f t="shared" si="34"/>
        <v>907.81</v>
      </c>
      <c r="N66" s="391">
        <v>15</v>
      </c>
      <c r="O66" s="398">
        <f t="shared" ref="O66:O70" si="36">$C66*P66/100+0.01</f>
        <v>605.22</v>
      </c>
      <c r="P66" s="391">
        <v>10</v>
      </c>
      <c r="Q66" s="398">
        <f t="shared" si="35"/>
        <v>6052.07</v>
      </c>
      <c r="R66" s="397">
        <f t="shared" ref="R66:R71" si="37">F66+H66+J66+L66+N66+P66</f>
        <v>100</v>
      </c>
      <c r="T66" s="416">
        <f t="shared" si="3"/>
        <v>-0.02</v>
      </c>
    </row>
    <row r="67" spans="1:20" s="37" customFormat="1" x14ac:dyDescent="0.2">
      <c r="A67" s="392" t="str">
        <f>Orçam.!A30</f>
        <v>3.2.7</v>
      </c>
      <c r="B67" s="422" t="str">
        <f>Orçam.!D30</f>
        <v>IMPRIMACAO DE BASE DE PAVIMENTACAO COM EMULSAO CM-30</v>
      </c>
      <c r="C67" s="400">
        <f>Orçam.!J30</f>
        <v>31351.23</v>
      </c>
      <c r="D67" s="401" t="e">
        <f t="shared" si="29"/>
        <v>#REF!</v>
      </c>
      <c r="E67" s="398">
        <f t="shared" si="30"/>
        <v>1567.56</v>
      </c>
      <c r="F67" s="391">
        <v>5</v>
      </c>
      <c r="G67" s="398">
        <f t="shared" si="31"/>
        <v>6270.25</v>
      </c>
      <c r="H67" s="397">
        <v>20</v>
      </c>
      <c r="I67" s="398">
        <f t="shared" si="32"/>
        <v>6270.25</v>
      </c>
      <c r="J67" s="391">
        <v>20</v>
      </c>
      <c r="K67" s="398">
        <f t="shared" si="33"/>
        <v>9405.3700000000008</v>
      </c>
      <c r="L67" s="391">
        <v>30</v>
      </c>
      <c r="M67" s="398">
        <f t="shared" si="34"/>
        <v>4702.68</v>
      </c>
      <c r="N67" s="391">
        <v>15</v>
      </c>
      <c r="O67" s="398">
        <f>$C67*P67/100</f>
        <v>3135.12</v>
      </c>
      <c r="P67" s="391">
        <v>10</v>
      </c>
      <c r="Q67" s="398">
        <f t="shared" si="35"/>
        <v>31351.23</v>
      </c>
      <c r="R67" s="397">
        <f t="shared" si="28"/>
        <v>100</v>
      </c>
      <c r="T67" s="416">
        <f t="shared" si="3"/>
        <v>0</v>
      </c>
    </row>
    <row r="68" spans="1:20" s="37" customFormat="1" x14ac:dyDescent="0.2">
      <c r="A68" s="392" t="str">
        <f>Orçam.!A31</f>
        <v>3.2.8</v>
      </c>
      <c r="B68" s="422" t="str">
        <f>Orçam.!D31</f>
        <v>TRATAMENTO SUPERFICIAL DUPLO - TSD, COM EMULSAO RR-2C</v>
      </c>
      <c r="C68" s="400">
        <f>Orçam.!J31</f>
        <v>53402.45</v>
      </c>
      <c r="D68" s="401" t="e">
        <f t="shared" si="29"/>
        <v>#REF!</v>
      </c>
      <c r="E68" s="398">
        <f t="shared" si="30"/>
        <v>2670.12</v>
      </c>
      <c r="F68" s="391">
        <v>5</v>
      </c>
      <c r="G68" s="398">
        <f t="shared" si="31"/>
        <v>10680.49</v>
      </c>
      <c r="H68" s="397">
        <v>20</v>
      </c>
      <c r="I68" s="398">
        <f t="shared" si="32"/>
        <v>10680.49</v>
      </c>
      <c r="J68" s="391">
        <v>20</v>
      </c>
      <c r="K68" s="398">
        <f t="shared" si="33"/>
        <v>16020.74</v>
      </c>
      <c r="L68" s="391">
        <v>30</v>
      </c>
      <c r="M68" s="398">
        <f t="shared" si="34"/>
        <v>8010.37</v>
      </c>
      <c r="N68" s="391">
        <v>15</v>
      </c>
      <c r="O68" s="398">
        <f>$C68*P68/100</f>
        <v>5340.25</v>
      </c>
      <c r="P68" s="391">
        <v>10</v>
      </c>
      <c r="Q68" s="398">
        <f t="shared" si="35"/>
        <v>53402.46</v>
      </c>
      <c r="R68" s="397">
        <f t="shared" si="28"/>
        <v>100</v>
      </c>
      <c r="T68" s="416">
        <f t="shared" si="3"/>
        <v>-0.01</v>
      </c>
    </row>
    <row r="69" spans="1:20" s="37" customFormat="1" ht="51" x14ac:dyDescent="0.2">
      <c r="A69" s="392" t="str">
        <f>Orçam.!A32</f>
        <v>3.2.9</v>
      </c>
      <c r="B69" s="422" t="str">
        <f>Orçam.!D32</f>
        <v>CAPA SELANTE COMPREENDENDO APLICAÇÃO DE ASFALTO NA PROPORÇÃO DE 0,7 A 1,5L / M2, DISTRIBUIÇÃO DE AGREGADOS DE 5 A 15KG/M2 E COMPACTAÇÃO COM ROLO - COM EMULSAO RR-2C, INCLUSO APLICACAO E COMPACTACAO</v>
      </c>
      <c r="C69" s="400">
        <f>Orçam.!J32</f>
        <v>18345.740000000002</v>
      </c>
      <c r="D69" s="401" t="e">
        <f t="shared" si="29"/>
        <v>#REF!</v>
      </c>
      <c r="E69" s="398">
        <f t="shared" si="30"/>
        <v>917.29</v>
      </c>
      <c r="F69" s="391">
        <v>5</v>
      </c>
      <c r="G69" s="398">
        <f t="shared" si="31"/>
        <v>3669.15</v>
      </c>
      <c r="H69" s="397">
        <v>20</v>
      </c>
      <c r="I69" s="398">
        <f t="shared" si="32"/>
        <v>3669.15</v>
      </c>
      <c r="J69" s="391">
        <v>20</v>
      </c>
      <c r="K69" s="398">
        <f t="shared" si="33"/>
        <v>5503.72</v>
      </c>
      <c r="L69" s="391">
        <v>30</v>
      </c>
      <c r="M69" s="398">
        <f t="shared" si="34"/>
        <v>2751.86</v>
      </c>
      <c r="N69" s="391">
        <v>15</v>
      </c>
      <c r="O69" s="398">
        <f>$C69*P69/100</f>
        <v>1834.57</v>
      </c>
      <c r="P69" s="391">
        <v>10</v>
      </c>
      <c r="Q69" s="398">
        <f t="shared" si="35"/>
        <v>18345.740000000002</v>
      </c>
      <c r="R69" s="397">
        <f t="shared" si="28"/>
        <v>100</v>
      </c>
      <c r="T69" s="416">
        <f>C69-Q69</f>
        <v>0</v>
      </c>
    </row>
    <row r="70" spans="1:20" s="37" customFormat="1" x14ac:dyDescent="0.2">
      <c r="A70" s="392" t="e">
        <f>Orçam.!#REF!</f>
        <v>#REF!</v>
      </c>
      <c r="B70" s="422" t="e">
        <f>Orçam.!#REF!</f>
        <v>#REF!</v>
      </c>
      <c r="C70" s="400" t="e">
        <f>Orçam.!#REF!</f>
        <v>#REF!</v>
      </c>
      <c r="D70" s="401" t="e">
        <f t="shared" si="29"/>
        <v>#REF!</v>
      </c>
      <c r="E70" s="398" t="e">
        <f t="shared" si="30"/>
        <v>#REF!</v>
      </c>
      <c r="F70" s="391">
        <v>5</v>
      </c>
      <c r="G70" s="398" t="e">
        <f t="shared" si="31"/>
        <v>#REF!</v>
      </c>
      <c r="H70" s="397">
        <v>20</v>
      </c>
      <c r="I70" s="398" t="e">
        <f t="shared" si="32"/>
        <v>#REF!</v>
      </c>
      <c r="J70" s="391">
        <v>20</v>
      </c>
      <c r="K70" s="398" t="e">
        <f t="shared" si="33"/>
        <v>#REF!</v>
      </c>
      <c r="L70" s="391">
        <v>30</v>
      </c>
      <c r="M70" s="398" t="e">
        <f t="shared" si="34"/>
        <v>#REF!</v>
      </c>
      <c r="N70" s="391">
        <v>15</v>
      </c>
      <c r="O70" s="398" t="e">
        <f t="shared" si="36"/>
        <v>#REF!</v>
      </c>
      <c r="P70" s="391">
        <v>10</v>
      </c>
      <c r="Q70" s="398" t="e">
        <f t="shared" si="35"/>
        <v>#REF!</v>
      </c>
      <c r="R70" s="397">
        <f t="shared" si="28"/>
        <v>100</v>
      </c>
      <c r="T70" s="416" t="e">
        <f t="shared" si="3"/>
        <v>#REF!</v>
      </c>
    </row>
    <row r="71" spans="1:20" s="37" customFormat="1" x14ac:dyDescent="0.2">
      <c r="A71" s="392" t="e">
        <f>Orçam.!#REF!</f>
        <v>#REF!</v>
      </c>
      <c r="B71" s="422" t="e">
        <f>Orçam.!#REF!</f>
        <v>#REF!</v>
      </c>
      <c r="C71" s="400" t="e">
        <f>Orçam.!#REF!</f>
        <v>#REF!</v>
      </c>
      <c r="D71" s="401" t="e">
        <f t="shared" si="29"/>
        <v>#REF!</v>
      </c>
      <c r="E71" s="398" t="e">
        <f t="shared" si="30"/>
        <v>#REF!</v>
      </c>
      <c r="F71" s="391">
        <v>5</v>
      </c>
      <c r="G71" s="398" t="e">
        <f t="shared" si="31"/>
        <v>#REF!</v>
      </c>
      <c r="H71" s="397">
        <v>20</v>
      </c>
      <c r="I71" s="398" t="e">
        <f t="shared" si="32"/>
        <v>#REF!</v>
      </c>
      <c r="J71" s="391">
        <v>20</v>
      </c>
      <c r="K71" s="398" t="e">
        <f t="shared" si="33"/>
        <v>#REF!</v>
      </c>
      <c r="L71" s="391">
        <v>30</v>
      </c>
      <c r="M71" s="398" t="e">
        <f t="shared" si="34"/>
        <v>#REF!</v>
      </c>
      <c r="N71" s="391">
        <v>15</v>
      </c>
      <c r="O71" s="398" t="e">
        <f>$C71*P71/100</f>
        <v>#REF!</v>
      </c>
      <c r="P71" s="391">
        <v>10</v>
      </c>
      <c r="Q71" s="398" t="e">
        <f t="shared" si="35"/>
        <v>#REF!</v>
      </c>
      <c r="R71" s="397">
        <f t="shared" si="37"/>
        <v>100</v>
      </c>
      <c r="T71" s="416" t="e">
        <f t="shared" si="3"/>
        <v>#REF!</v>
      </c>
    </row>
    <row r="72" spans="1:20" s="37" customFormat="1" ht="51" x14ac:dyDescent="0.2">
      <c r="A72" s="392" t="str">
        <f>Orçam.!A33</f>
        <v>3.2.10</v>
      </c>
      <c r="B72" s="422" t="str">
        <f>Orçam.!D33</f>
        <v>TRANSPORTE DE MATERIAL ASFALTICO, COM CAMINHÃO COM CAPACIDADE DE 30000L EM RODOVIA PAVIMENTADA PARA DISTÂNCIAS MÉDIAS DE TRANSPORTE SUPERIORES A 100 KM. AF_02/2016 - 112 KM - CUIABA À ENTRADA DA MT-453</v>
      </c>
      <c r="C72" s="400">
        <f>Orçam.!J33</f>
        <v>1151.77</v>
      </c>
      <c r="D72" s="401" t="e">
        <f t="shared" si="29"/>
        <v>#REF!</v>
      </c>
      <c r="E72" s="398">
        <f t="shared" si="30"/>
        <v>57.59</v>
      </c>
      <c r="F72" s="391">
        <v>5</v>
      </c>
      <c r="G72" s="398">
        <f t="shared" si="31"/>
        <v>230.35</v>
      </c>
      <c r="H72" s="397">
        <v>20</v>
      </c>
      <c r="I72" s="398">
        <f t="shared" si="32"/>
        <v>230.35</v>
      </c>
      <c r="J72" s="391">
        <v>20</v>
      </c>
      <c r="K72" s="398">
        <f t="shared" si="33"/>
        <v>345.53</v>
      </c>
      <c r="L72" s="391">
        <v>30</v>
      </c>
      <c r="M72" s="398">
        <f t="shared" si="34"/>
        <v>172.77</v>
      </c>
      <c r="N72" s="391">
        <v>15</v>
      </c>
      <c r="O72" s="398">
        <f>$C72*P72/100-0.01</f>
        <v>115.17</v>
      </c>
      <c r="P72" s="391">
        <v>10</v>
      </c>
      <c r="Q72" s="398">
        <f t="shared" si="35"/>
        <v>1151.76</v>
      </c>
      <c r="R72" s="397">
        <f t="shared" si="28"/>
        <v>100</v>
      </c>
      <c r="T72" s="416">
        <f t="shared" si="3"/>
        <v>0.01</v>
      </c>
    </row>
    <row r="73" spans="1:20" s="37" customFormat="1" ht="38.25" x14ac:dyDescent="0.2">
      <c r="A73" s="392" t="str">
        <f>Orçam.!A35</f>
        <v>3.2.12</v>
      </c>
      <c r="B73" s="422" t="str">
        <f>Orçam.!D35</f>
        <v>TRANSPORTE COMERCIAL COM CAMINHAO BASCULANTE 6 M3, RODOVIA PAVIMENTADA - (BRITA)  35 KM - SERRA DE SÃO VICENTE À ENTRADA DA MT-453</v>
      </c>
      <c r="C73" s="400">
        <f>Orçam.!J35</f>
        <v>4258.8</v>
      </c>
      <c r="D73" s="401" t="e">
        <f t="shared" si="29"/>
        <v>#REF!</v>
      </c>
      <c r="E73" s="398">
        <f t="shared" si="30"/>
        <v>212.94</v>
      </c>
      <c r="F73" s="391">
        <v>5</v>
      </c>
      <c r="G73" s="398">
        <f t="shared" si="31"/>
        <v>851.76</v>
      </c>
      <c r="H73" s="397">
        <v>20</v>
      </c>
      <c r="I73" s="398">
        <f t="shared" si="32"/>
        <v>851.76</v>
      </c>
      <c r="J73" s="391">
        <v>20</v>
      </c>
      <c r="K73" s="398">
        <f t="shared" si="33"/>
        <v>1277.6400000000001</v>
      </c>
      <c r="L73" s="391">
        <v>30</v>
      </c>
      <c r="M73" s="398">
        <f t="shared" si="34"/>
        <v>638.82000000000005</v>
      </c>
      <c r="N73" s="391">
        <v>15</v>
      </c>
      <c r="O73" s="398">
        <f>$C73*P73/100-0.01</f>
        <v>425.87</v>
      </c>
      <c r="P73" s="391">
        <v>10</v>
      </c>
      <c r="Q73" s="398">
        <f t="shared" si="35"/>
        <v>4258.79</v>
      </c>
      <c r="R73" s="397">
        <f t="shared" si="35"/>
        <v>100</v>
      </c>
      <c r="T73" s="416">
        <f t="shared" si="3"/>
        <v>0.01</v>
      </c>
    </row>
    <row r="74" spans="1:20" s="37" customFormat="1" x14ac:dyDescent="0.2">
      <c r="A74" s="388" t="str">
        <f>Resumo!A17</f>
        <v>3.3</v>
      </c>
      <c r="B74" s="421" t="str">
        <f>Resumo!B17</f>
        <v>OBRAS COMPLEMENTARES</v>
      </c>
      <c r="C74" s="394"/>
      <c r="D74" s="399"/>
      <c r="E74" s="398"/>
      <c r="F74" s="391"/>
      <c r="G74" s="398"/>
      <c r="H74" s="397"/>
      <c r="I74" s="398"/>
      <c r="J74" s="391"/>
      <c r="K74" s="398"/>
      <c r="L74" s="391"/>
      <c r="M74" s="398"/>
      <c r="N74" s="391"/>
      <c r="O74" s="398"/>
      <c r="P74" s="391"/>
      <c r="Q74" s="398"/>
      <c r="R74" s="397"/>
      <c r="T74" s="416">
        <f t="shared" si="3"/>
        <v>0</v>
      </c>
    </row>
    <row r="75" spans="1:20" s="37" customFormat="1" x14ac:dyDescent="0.2">
      <c r="A75" s="391" t="e">
        <f>Orçam.!#REF!</f>
        <v>#REF!</v>
      </c>
      <c r="B75" s="422" t="e">
        <f>Orçam.!#REF!</f>
        <v>#REF!</v>
      </c>
      <c r="C75" s="398" t="e">
        <f>Orçam.!#REF!</f>
        <v>#REF!</v>
      </c>
      <c r="D75" s="399" t="e">
        <f>C75/$C$85</f>
        <v>#REF!</v>
      </c>
      <c r="E75" s="398"/>
      <c r="F75" s="391"/>
      <c r="G75" s="398"/>
      <c r="H75" s="397"/>
      <c r="I75" s="398" t="e">
        <f>$C75*J75/100</f>
        <v>#REF!</v>
      </c>
      <c r="J75" s="391">
        <v>20</v>
      </c>
      <c r="K75" s="398" t="e">
        <f>$C75*L75/100</f>
        <v>#REF!</v>
      </c>
      <c r="L75" s="391">
        <v>40</v>
      </c>
      <c r="M75" s="398" t="e">
        <f>$C75*N75/100</f>
        <v>#REF!</v>
      </c>
      <c r="N75" s="391">
        <v>20</v>
      </c>
      <c r="O75" s="398" t="e">
        <f>$C75*P75/100-0.01</f>
        <v>#REF!</v>
      </c>
      <c r="P75" s="391">
        <v>20</v>
      </c>
      <c r="Q75" s="398" t="e">
        <f>E75+G75+I75+K75+M75+O75</f>
        <v>#REF!</v>
      </c>
      <c r="R75" s="397">
        <f t="shared" si="35"/>
        <v>100</v>
      </c>
      <c r="T75" s="416" t="e">
        <f t="shared" si="3"/>
        <v>#REF!</v>
      </c>
    </row>
    <row r="76" spans="1:20" s="37" customFormat="1" ht="38.25" x14ac:dyDescent="0.2">
      <c r="A76" s="391" t="str">
        <f>Orçam.!A39</f>
        <v>3.3.1</v>
      </c>
      <c r="B76" s="422" t="str">
        <f>Orçam.!D39</f>
        <v>GUIA (MEIO-FIO) E SARJETA CONJUGADOS DE CONCRETO, MOLDADA IN LOCO EM TRECHO RETO COM EXTRUSORA, GUIA 13 CM BASE X 22 CM ALTURA, SARJETA 30CM BASE X 8,5 CM ALTURA. AF_06/2016</v>
      </c>
      <c r="C76" s="398">
        <f>Orçam.!J39</f>
        <v>44557.16</v>
      </c>
      <c r="D76" s="399" t="e">
        <f>C76/$C$85</f>
        <v>#REF!</v>
      </c>
      <c r="E76" s="398"/>
      <c r="F76" s="391"/>
      <c r="G76" s="398"/>
      <c r="H76" s="397"/>
      <c r="I76" s="398">
        <f>$C76*J76/100</f>
        <v>8911.43</v>
      </c>
      <c r="J76" s="391">
        <v>20</v>
      </c>
      <c r="K76" s="398">
        <f>$C76*L76/100</f>
        <v>17822.86</v>
      </c>
      <c r="L76" s="391">
        <v>40</v>
      </c>
      <c r="M76" s="398">
        <f>$C76*N76/100</f>
        <v>8911.43</v>
      </c>
      <c r="N76" s="391">
        <v>20</v>
      </c>
      <c r="O76" s="398">
        <f>$C76*P76/100-0.01</f>
        <v>8911.42</v>
      </c>
      <c r="P76" s="391">
        <v>20</v>
      </c>
      <c r="Q76" s="398">
        <f>E76+G76+I76+K76+M76+O76</f>
        <v>44557.14</v>
      </c>
      <c r="R76" s="397">
        <f t="shared" si="35"/>
        <v>100</v>
      </c>
      <c r="T76" s="416">
        <f t="shared" si="3"/>
        <v>0.02</v>
      </c>
    </row>
    <row r="77" spans="1:20" s="37" customFormat="1" ht="38.25" x14ac:dyDescent="0.2">
      <c r="A77" s="391" t="str">
        <f>Orçam.!A40</f>
        <v>3.3.2</v>
      </c>
      <c r="B77" s="422" t="str">
        <f>Orçam.!D40</f>
        <v>EXECUÇÃO DE PASSEIO (CALÇADA) COM CONCRETO MOLDADO IN LOCO, FEITO EM OBRA, ACABAMENTO CONVENCIONAL, NÃO ARMADO. AF_07/2016</v>
      </c>
      <c r="C77" s="398">
        <f>Orçam.!J40</f>
        <v>54442.63</v>
      </c>
      <c r="D77" s="399" t="e">
        <f>C77/$C$85</f>
        <v>#REF!</v>
      </c>
      <c r="E77" s="398"/>
      <c r="F77" s="391"/>
      <c r="G77" s="398"/>
      <c r="H77" s="397"/>
      <c r="I77" s="398">
        <f>$C77*J77/100</f>
        <v>0</v>
      </c>
      <c r="J77" s="391"/>
      <c r="K77" s="398">
        <f>$C77*L77/100</f>
        <v>0</v>
      </c>
      <c r="L77" s="391"/>
      <c r="M77" s="398">
        <f>$C77*N77/100</f>
        <v>27221.32</v>
      </c>
      <c r="N77" s="391">
        <v>50</v>
      </c>
      <c r="O77" s="398">
        <f>$C77*P77/100-0.01</f>
        <v>27221.31</v>
      </c>
      <c r="P77" s="391">
        <v>50</v>
      </c>
      <c r="Q77" s="398">
        <f>E77+G77+I77+K77+M77+O77</f>
        <v>54442.63</v>
      </c>
      <c r="R77" s="397">
        <f t="shared" ref="R77" si="38">F77+H77+J77+L77+N77+P77</f>
        <v>100</v>
      </c>
      <c r="T77" s="416">
        <f t="shared" ref="T77" si="39">C77-Q77</f>
        <v>0</v>
      </c>
    </row>
    <row r="78" spans="1:20" s="37" customFormat="1" x14ac:dyDescent="0.2">
      <c r="A78" s="388" t="str">
        <f>Resumo!A18</f>
        <v>3.4</v>
      </c>
      <c r="B78" s="421" t="str">
        <f>Resumo!B18</f>
        <v>SINALIZAÇÃO VIÁRIA</v>
      </c>
      <c r="C78" s="394"/>
      <c r="D78" s="399"/>
      <c r="E78" s="398"/>
      <c r="F78" s="391"/>
      <c r="G78" s="398"/>
      <c r="H78" s="397"/>
      <c r="I78" s="398"/>
      <c r="J78" s="391"/>
      <c r="K78" s="398"/>
      <c r="L78" s="391"/>
      <c r="M78" s="398"/>
      <c r="N78" s="391"/>
      <c r="O78" s="398"/>
      <c r="P78" s="391"/>
      <c r="Q78" s="398"/>
      <c r="R78" s="397"/>
      <c r="T78" s="416">
        <f t="shared" ref="T78:T83" si="40">C78-Q78</f>
        <v>0</v>
      </c>
    </row>
    <row r="79" spans="1:20" s="37" customFormat="1" x14ac:dyDescent="0.2">
      <c r="A79" s="393" t="str">
        <f>Orçam.!A43</f>
        <v>3.4.1</v>
      </c>
      <c r="B79" s="423" t="str">
        <f>Orçam.!D43</f>
        <v>CONFECÇÃO DE PLACAS DE SINALIZAÇÃO TOTALMENTE REFLETIVA</v>
      </c>
      <c r="C79" s="398">
        <f>Orçam.!J43</f>
        <v>1768.62</v>
      </c>
      <c r="D79" s="399" t="e">
        <f>C79/$C$85</f>
        <v>#REF!</v>
      </c>
      <c r="E79" s="398"/>
      <c r="F79" s="391"/>
      <c r="G79" s="398"/>
      <c r="H79" s="397"/>
      <c r="I79" s="398"/>
      <c r="J79" s="391"/>
      <c r="K79" s="398">
        <f t="shared" ref="K79:K83" si="41">$C79*L79/100</f>
        <v>353.72</v>
      </c>
      <c r="L79" s="391">
        <v>20</v>
      </c>
      <c r="M79" s="398">
        <f t="shared" ref="M79:M83" si="42">$C79*N79/100</f>
        <v>707.45</v>
      </c>
      <c r="N79" s="391">
        <v>40</v>
      </c>
      <c r="O79" s="398">
        <f>$C79*P79/100-0.01</f>
        <v>707.44</v>
      </c>
      <c r="P79" s="391">
        <v>40</v>
      </c>
      <c r="Q79" s="398">
        <f t="shared" ref="Q79:Q83" si="43">E79+G79+I79+K79+M79+O79+0.01</f>
        <v>1768.62</v>
      </c>
      <c r="R79" s="397">
        <f t="shared" si="35"/>
        <v>100</v>
      </c>
      <c r="T79" s="416">
        <f t="shared" si="40"/>
        <v>0</v>
      </c>
    </row>
    <row r="80" spans="1:20" s="37" customFormat="1" ht="25.5" x14ac:dyDescent="0.2">
      <c r="A80" s="393" t="str">
        <f>Orçam.!A44</f>
        <v>3.4.2</v>
      </c>
      <c r="B80" s="423" t="str">
        <f>Orçam.!D44</f>
        <v>CONFECÇÃO DE PLACAS DE SINALIZAÇÃO TOTALMENTE REFLETIVA (IDENTIFICAÇÃO DE RUAS)</v>
      </c>
      <c r="C80" s="398">
        <f>Orçam.!J44</f>
        <v>498.2</v>
      </c>
      <c r="D80" s="399" t="e">
        <f>C80/$C$85</f>
        <v>#REF!</v>
      </c>
      <c r="E80" s="398"/>
      <c r="F80" s="391"/>
      <c r="G80" s="398"/>
      <c r="H80" s="397"/>
      <c r="I80" s="398"/>
      <c r="J80" s="391"/>
      <c r="K80" s="398">
        <f t="shared" si="41"/>
        <v>99.64</v>
      </c>
      <c r="L80" s="391">
        <v>20</v>
      </c>
      <c r="M80" s="398">
        <f t="shared" si="42"/>
        <v>199.28</v>
      </c>
      <c r="N80" s="391">
        <v>40</v>
      </c>
      <c r="O80" s="398">
        <f>$C80*P80/100-0.01</f>
        <v>199.27</v>
      </c>
      <c r="P80" s="391">
        <v>40</v>
      </c>
      <c r="Q80" s="398">
        <f t="shared" si="43"/>
        <v>498.2</v>
      </c>
      <c r="R80" s="397">
        <f t="shared" ref="R80:R83" si="44">F80+H80+J80+L80+N80+P80</f>
        <v>100</v>
      </c>
      <c r="T80" s="416">
        <f t="shared" si="40"/>
        <v>0</v>
      </c>
    </row>
    <row r="81" spans="1:20" s="37" customFormat="1" x14ac:dyDescent="0.2">
      <c r="A81" s="393" t="str">
        <f>Orçam.!A45</f>
        <v>3.4.3</v>
      </c>
      <c r="B81" s="423" t="str">
        <f>Orçam.!D45</f>
        <v>CONFECÇÃO SUPORTE E TRAVESSA P/ PLACAS DE SINALIZAÇÃO</v>
      </c>
      <c r="C81" s="398">
        <f>Orçam.!J45</f>
        <v>671.1</v>
      </c>
      <c r="D81" s="399" t="e">
        <f>C81/$C$85</f>
        <v>#REF!</v>
      </c>
      <c r="E81" s="398"/>
      <c r="F81" s="391"/>
      <c r="G81" s="398"/>
      <c r="H81" s="397"/>
      <c r="I81" s="398"/>
      <c r="J81" s="391"/>
      <c r="K81" s="398">
        <f t="shared" si="41"/>
        <v>134.22</v>
      </c>
      <c r="L81" s="391">
        <v>20</v>
      </c>
      <c r="M81" s="398">
        <f t="shared" si="42"/>
        <v>268.44</v>
      </c>
      <c r="N81" s="391">
        <v>40</v>
      </c>
      <c r="O81" s="398">
        <f t="shared" ref="O81" si="45">$C81*P81/100</f>
        <v>268.44</v>
      </c>
      <c r="P81" s="391">
        <v>40</v>
      </c>
      <c r="Q81" s="398">
        <f>E81+G81+I81+K81+M81+O81+0.04</f>
        <v>671.14</v>
      </c>
      <c r="R81" s="397">
        <f t="shared" si="44"/>
        <v>100</v>
      </c>
      <c r="T81" s="416">
        <f t="shared" si="40"/>
        <v>-0.04</v>
      </c>
    </row>
    <row r="82" spans="1:20" s="37" customFormat="1" ht="25.5" x14ac:dyDescent="0.2">
      <c r="A82" s="393" t="str">
        <f>Orçam.!A46</f>
        <v>3.4.4</v>
      </c>
      <c r="B82" s="423" t="str">
        <f>Orçam.!D46</f>
        <v>CONFECÇÃO SUPORTE E TRAVESSA P/ PLACAS DE SINALIZAÇÃO (IDENTIFICAÇÃO DE RUAS)</v>
      </c>
      <c r="C82" s="398">
        <f>Orçam.!J46</f>
        <v>223.7</v>
      </c>
      <c r="D82" s="399" t="e">
        <f>C82/$C$85</f>
        <v>#REF!</v>
      </c>
      <c r="E82" s="398"/>
      <c r="F82" s="391"/>
      <c r="G82" s="398"/>
      <c r="H82" s="397"/>
      <c r="I82" s="398"/>
      <c r="J82" s="391"/>
      <c r="K82" s="398">
        <f t="shared" si="41"/>
        <v>44.74</v>
      </c>
      <c r="L82" s="391">
        <v>20</v>
      </c>
      <c r="M82" s="398">
        <f t="shared" si="42"/>
        <v>89.48</v>
      </c>
      <c r="N82" s="391">
        <v>40</v>
      </c>
      <c r="O82" s="398">
        <f>$C82*P82/100-0.01</f>
        <v>89.47</v>
      </c>
      <c r="P82" s="391">
        <v>40</v>
      </c>
      <c r="Q82" s="398">
        <f t="shared" si="43"/>
        <v>223.7</v>
      </c>
      <c r="R82" s="397">
        <f t="shared" si="44"/>
        <v>100</v>
      </c>
      <c r="T82" s="416">
        <f t="shared" si="40"/>
        <v>0</v>
      </c>
    </row>
    <row r="83" spans="1:20" s="37" customFormat="1" ht="25.5" x14ac:dyDescent="0.2">
      <c r="A83" s="393" t="str">
        <f>Orçam.!A47</f>
        <v>3.4.5</v>
      </c>
      <c r="B83" s="423" t="str">
        <f>Orçam.!D47</f>
        <v>SINALIZACAO HORIZONTAL COM TINTA RETRORREFLETIVA A BASE DE RESINA ACRILICA COM MICROESFERAS DE VIDRO</v>
      </c>
      <c r="C83" s="398">
        <f>Orçam.!J47</f>
        <v>7424.05</v>
      </c>
      <c r="D83" s="399" t="e">
        <f>C83/$C$85</f>
        <v>#REF!</v>
      </c>
      <c r="E83" s="398"/>
      <c r="F83" s="391"/>
      <c r="G83" s="398"/>
      <c r="H83" s="397"/>
      <c r="I83" s="398"/>
      <c r="J83" s="391"/>
      <c r="K83" s="398">
        <f t="shared" si="41"/>
        <v>1484.81</v>
      </c>
      <c r="L83" s="391">
        <v>20</v>
      </c>
      <c r="M83" s="398">
        <f t="shared" si="42"/>
        <v>2969.62</v>
      </c>
      <c r="N83" s="391">
        <v>40</v>
      </c>
      <c r="O83" s="398">
        <f>$C83*P83/100-0.01</f>
        <v>2969.61</v>
      </c>
      <c r="P83" s="391">
        <v>40</v>
      </c>
      <c r="Q83" s="398">
        <f t="shared" si="43"/>
        <v>7424.05</v>
      </c>
      <c r="R83" s="397">
        <f t="shared" si="44"/>
        <v>100</v>
      </c>
      <c r="T83" s="416">
        <f t="shared" si="40"/>
        <v>0</v>
      </c>
    </row>
    <row r="84" spans="1:20" s="37" customFormat="1" ht="13.5" thickBot="1" x14ac:dyDescent="0.25">
      <c r="A84" s="393"/>
      <c r="B84" s="424"/>
      <c r="C84" s="402"/>
      <c r="D84" s="403"/>
      <c r="E84" s="402"/>
      <c r="F84" s="404"/>
      <c r="G84" s="402"/>
      <c r="H84" s="405"/>
      <c r="I84" s="402"/>
      <c r="J84" s="405"/>
      <c r="K84" s="402"/>
      <c r="L84" s="405"/>
      <c r="M84" s="402"/>
      <c r="N84" s="405"/>
      <c r="O84" s="402"/>
      <c r="P84" s="405"/>
      <c r="Q84" s="402"/>
      <c r="R84" s="405"/>
    </row>
    <row r="85" spans="1:20" s="37" customFormat="1" ht="13.5" thickBot="1" x14ac:dyDescent="0.25">
      <c r="A85" s="1190" t="s">
        <v>17</v>
      </c>
      <c r="B85" s="1191"/>
      <c r="C85" s="406" t="e">
        <f>SUM(C11:C83)</f>
        <v>#REF!</v>
      </c>
      <c r="D85" s="407" t="e">
        <f>SUM(D11:D83)</f>
        <v>#REF!</v>
      </c>
      <c r="E85" s="408" t="e">
        <f>SUM(E11:E83)</f>
        <v>#REF!</v>
      </c>
      <c r="F85" s="409" t="e">
        <f>E85/$C$85</f>
        <v>#REF!</v>
      </c>
      <c r="G85" s="410" t="e">
        <f>SUM(G11:G83)</f>
        <v>#REF!</v>
      </c>
      <c r="H85" s="409" t="e">
        <f>G85/$C$85</f>
        <v>#REF!</v>
      </c>
      <c r="I85" s="411" t="e">
        <f>SUM(I11:I83)</f>
        <v>#REF!</v>
      </c>
      <c r="J85" s="409" t="e">
        <f>I85/$C$85</f>
        <v>#REF!</v>
      </c>
      <c r="K85" s="411" t="e">
        <f>SUM(K11:K83)</f>
        <v>#REF!</v>
      </c>
      <c r="L85" s="409" t="e">
        <f>K85/$C$85</f>
        <v>#REF!</v>
      </c>
      <c r="M85" s="411" t="e">
        <f>SUM(M11:M83)</f>
        <v>#REF!</v>
      </c>
      <c r="N85" s="409" t="e">
        <f>M85/$C$85</f>
        <v>#REF!</v>
      </c>
      <c r="O85" s="411" t="e">
        <f>SUM(O11:O83)</f>
        <v>#REF!</v>
      </c>
      <c r="P85" s="409" t="e">
        <f>O85/$C$85</f>
        <v>#REF!</v>
      </c>
      <c r="Q85" s="411" t="e">
        <f>SUM(Q11:Q83)</f>
        <v>#REF!</v>
      </c>
      <c r="R85" s="412" t="e">
        <f>Q85/$C$85</f>
        <v>#REF!</v>
      </c>
    </row>
    <row r="86" spans="1:20" s="37" customFormat="1" ht="13.5" thickBot="1" x14ac:dyDescent="0.25">
      <c r="A86" s="1192" t="s">
        <v>18</v>
      </c>
      <c r="B86" s="1193"/>
      <c r="C86" s="413"/>
      <c r="D86" s="414"/>
      <c r="E86" s="408" t="e">
        <f>SUM(E85)</f>
        <v>#REF!</v>
      </c>
      <c r="F86" s="415" t="e">
        <f>E86/C85</f>
        <v>#REF!</v>
      </c>
      <c r="G86" s="416" t="e">
        <f t="shared" ref="G86:L86" si="46">E86+G85</f>
        <v>#REF!</v>
      </c>
      <c r="H86" s="415" t="e">
        <f t="shared" si="46"/>
        <v>#REF!</v>
      </c>
      <c r="I86" s="416" t="e">
        <f t="shared" si="46"/>
        <v>#REF!</v>
      </c>
      <c r="J86" s="415" t="e">
        <f t="shared" si="46"/>
        <v>#REF!</v>
      </c>
      <c r="K86" s="416" t="e">
        <f t="shared" si="46"/>
        <v>#REF!</v>
      </c>
      <c r="L86" s="415" t="e">
        <f t="shared" si="46"/>
        <v>#REF!</v>
      </c>
      <c r="M86" s="416" t="e">
        <f t="shared" ref="M86" si="47">K86+M85</f>
        <v>#REF!</v>
      </c>
      <c r="N86" s="415" t="e">
        <f t="shared" ref="N86" si="48">L86+N85</f>
        <v>#REF!</v>
      </c>
      <c r="O86" s="416" t="e">
        <f t="shared" ref="O86" si="49">M86+O85</f>
        <v>#REF!</v>
      </c>
      <c r="P86" s="415" t="e">
        <f>N86+P85</f>
        <v>#REF!</v>
      </c>
      <c r="Q86" s="416"/>
      <c r="R86" s="417"/>
    </row>
    <row r="87" spans="1:20" s="37" customFormat="1" ht="13.5" thickBot="1" x14ac:dyDescent="0.25">
      <c r="A87" s="1185"/>
      <c r="B87" s="1186"/>
      <c r="C87" s="1186"/>
      <c r="D87" s="1186"/>
      <c r="E87" s="1186"/>
      <c r="F87" s="1186"/>
      <c r="G87" s="1186"/>
      <c r="H87" s="1186"/>
      <c r="I87" s="1186"/>
      <c r="J87" s="1186"/>
      <c r="K87" s="1186"/>
      <c r="L87" s="1186"/>
      <c r="M87" s="1186"/>
      <c r="N87" s="1186"/>
      <c r="O87" s="1186"/>
      <c r="P87" s="1186"/>
      <c r="Q87" s="1186"/>
      <c r="R87" s="1187"/>
    </row>
    <row r="89" spans="1:20" x14ac:dyDescent="0.2">
      <c r="B89" s="354" t="s">
        <v>201</v>
      </c>
    </row>
    <row r="90" spans="1:20" x14ac:dyDescent="0.2">
      <c r="B90" s="356" t="s">
        <v>272</v>
      </c>
    </row>
    <row r="91" spans="1:20" x14ac:dyDescent="0.2">
      <c r="C91" s="425"/>
    </row>
  </sheetData>
  <mergeCells count="24">
    <mergeCell ref="A1:R1"/>
    <mergeCell ref="A2:R2"/>
    <mergeCell ref="B3:O3"/>
    <mergeCell ref="B4:O4"/>
    <mergeCell ref="N6:O6"/>
    <mergeCell ref="M5:O5"/>
    <mergeCell ref="B5:K5"/>
    <mergeCell ref="B6:K6"/>
    <mergeCell ref="P3:R6"/>
    <mergeCell ref="A87:R87"/>
    <mergeCell ref="Q9:R9"/>
    <mergeCell ref="A7:R7"/>
    <mergeCell ref="A85:B85"/>
    <mergeCell ref="M9:N9"/>
    <mergeCell ref="O9:P9"/>
    <mergeCell ref="A86:B86"/>
    <mergeCell ref="A8:A10"/>
    <mergeCell ref="B8:B10"/>
    <mergeCell ref="C8:D9"/>
    <mergeCell ref="E8:R8"/>
    <mergeCell ref="E9:F9"/>
    <mergeCell ref="G9:H9"/>
    <mergeCell ref="I9:J9"/>
    <mergeCell ref="K9:L9"/>
  </mergeCells>
  <phoneticPr fontId="0" type="noConversion"/>
  <printOptions horizontalCentered="1"/>
  <pageMargins left="0.39370078740157483" right="0.39370078740157483" top="0.98425196850393704" bottom="0.39370078740157483" header="0.31496062992125984" footer="0.31496062992125984"/>
  <pageSetup paperSize="9" scale="54" fitToHeight="0" orientation="landscape" r:id="rId1"/>
  <headerFooter alignWithMargins="0"/>
  <rowBreaks count="1" manualBreakCount="1">
    <brk id="73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topLeftCell="A10" zoomScaleSheetLayoutView="100" workbookViewId="0">
      <selection activeCell="I15" sqref="I15"/>
    </sheetView>
  </sheetViews>
  <sheetFormatPr defaultRowHeight="12.75" x14ac:dyDescent="0.2"/>
  <cols>
    <col min="1" max="1" width="12.42578125" customWidth="1"/>
    <col min="2" max="2" width="36.28515625" customWidth="1"/>
    <col min="3" max="3" width="50" customWidth="1"/>
    <col min="4" max="4" width="20.140625" customWidth="1"/>
    <col min="5" max="5" width="28.140625" customWidth="1"/>
    <col min="6" max="6" width="9" customWidth="1"/>
    <col min="7" max="7" width="10.7109375" customWidth="1"/>
  </cols>
  <sheetData>
    <row r="1" spans="1:12" s="491" customFormat="1" ht="48" customHeight="1" x14ac:dyDescent="0.2">
      <c r="A1" s="1219"/>
      <c r="B1" s="1220"/>
      <c r="C1" s="1148" t="str">
        <f>Terrap.!C1</f>
        <v>ESTADO DE MATO GROSSO</v>
      </c>
      <c r="D1" s="1148"/>
      <c r="E1" s="1148"/>
      <c r="F1" s="1148"/>
      <c r="G1" s="1149"/>
    </row>
    <row r="2" spans="1:12" s="491" customFormat="1" ht="48" customHeight="1" x14ac:dyDescent="0.2">
      <c r="A2" s="1221"/>
      <c r="B2" s="1222"/>
      <c r="C2" s="1150" t="str">
        <f>Terrap.!C2</f>
        <v>PREFEITURA MUNICIPAL DE JACIARA</v>
      </c>
      <c r="D2" s="1150"/>
      <c r="E2" s="1150"/>
      <c r="F2" s="1150"/>
      <c r="G2" s="1151"/>
    </row>
    <row r="3" spans="1:12" s="98" customFormat="1" ht="24" customHeight="1" x14ac:dyDescent="0.2">
      <c r="A3" s="486" t="str">
        <f>Terrap.!A3</f>
        <v>OBRA:</v>
      </c>
      <c r="B3" s="484" t="str">
        <f>Terrap.!B3</f>
        <v>PAVIMENTAÇÃO ASFALTICA EM TSD</v>
      </c>
      <c r="C3" s="484"/>
      <c r="D3" s="559" t="s">
        <v>455</v>
      </c>
      <c r="E3" s="1130" t="str">
        <f>Terrap.!H6</f>
        <v>TABELA:</v>
      </c>
      <c r="F3" s="1130"/>
      <c r="G3" s="314" t="str">
        <f>Terrap.!E6</f>
        <v>BDI:</v>
      </c>
    </row>
    <row r="4" spans="1:12" s="98" customFormat="1" ht="24" customHeight="1" x14ac:dyDescent="0.2">
      <c r="A4" s="486" t="str">
        <f>Terrap.!A4</f>
        <v>LOCAL:</v>
      </c>
      <c r="B4" s="484" t="str">
        <f>Terrap.!B4</f>
        <v>DIVERSAS RUAS - DISTRITO DE CELMA</v>
      </c>
      <c r="C4" s="484"/>
      <c r="D4" s="1143" t="str">
        <f>Terrap.!F5</f>
        <v>FEVEREIRO 2019</v>
      </c>
      <c r="E4" s="880" t="str">
        <f>Terrap.!I4</f>
        <v>SINAPI - JANEIRO / 2019                                                                             ANP 12/2018 (com desoneração)</v>
      </c>
      <c r="F4" s="880"/>
      <c r="G4" s="1141">
        <f>Terrap.!F6</f>
        <v>0.26019999999999999</v>
      </c>
    </row>
    <row r="5" spans="1:12" s="98" customFormat="1" ht="24" customHeight="1" x14ac:dyDescent="0.2">
      <c r="A5" s="486" t="str">
        <f>Terrap.!A5</f>
        <v>PROPR.:</v>
      </c>
      <c r="B5" s="484" t="str">
        <f>Terrap.!B5</f>
        <v>PREFEITURA MUNICIPAL DE JACIARA</v>
      </c>
      <c r="C5" s="484"/>
      <c r="D5" s="1154"/>
      <c r="E5" s="880"/>
      <c r="F5" s="880"/>
      <c r="G5" s="1141"/>
    </row>
    <row r="6" spans="1:12" s="98" customFormat="1" ht="24" customHeight="1" thickBot="1" x14ac:dyDescent="0.25">
      <c r="A6" s="488" t="str">
        <f>Terrap.!A6</f>
        <v>ÁREA (m²):</v>
      </c>
      <c r="B6" s="1227">
        <f>Terrap.!C14</f>
        <v>4044.58</v>
      </c>
      <c r="C6" s="1227"/>
      <c r="D6" s="1144"/>
      <c r="E6" s="882"/>
      <c r="F6" s="882"/>
      <c r="G6" s="1142"/>
    </row>
    <row r="7" spans="1:12" ht="26.25" customHeight="1" thickBot="1" x14ac:dyDescent="0.25">
      <c r="A7" s="1136" t="s">
        <v>183</v>
      </c>
      <c r="B7" s="1137"/>
      <c r="C7" s="1137"/>
      <c r="D7" s="1137"/>
      <c r="E7" s="1137"/>
      <c r="F7" s="1168"/>
      <c r="G7" s="1138"/>
    </row>
    <row r="8" spans="1:12" ht="15.75" thickBot="1" x14ac:dyDescent="0.3">
      <c r="B8" s="39"/>
      <c r="C8" s="39"/>
      <c r="D8" s="39"/>
      <c r="E8" s="39"/>
      <c r="F8" s="39"/>
      <c r="H8" s="39"/>
      <c r="I8" s="39"/>
      <c r="J8" s="39"/>
      <c r="K8" s="39"/>
      <c r="L8" s="39"/>
    </row>
    <row r="9" spans="1:12" ht="19.5" customHeight="1" x14ac:dyDescent="0.25">
      <c r="B9" s="1225" t="s">
        <v>184</v>
      </c>
      <c r="C9" s="1226"/>
      <c r="D9" s="1226"/>
      <c r="E9" s="1226"/>
      <c r="F9" s="384" t="s">
        <v>15</v>
      </c>
      <c r="H9" s="39"/>
      <c r="I9" s="39"/>
      <c r="J9" s="39"/>
      <c r="K9" s="39"/>
      <c r="L9" s="39"/>
    </row>
    <row r="10" spans="1:12" ht="19.5" customHeight="1" x14ac:dyDescent="0.25">
      <c r="B10" s="1223" t="s">
        <v>188</v>
      </c>
      <c r="C10" s="1224"/>
      <c r="D10" s="1224"/>
      <c r="E10" s="1224"/>
      <c r="F10" s="385">
        <v>4.34</v>
      </c>
      <c r="H10" s="39"/>
      <c r="I10" s="39"/>
      <c r="J10" s="39"/>
      <c r="K10" s="39"/>
      <c r="L10" s="39"/>
    </row>
    <row r="11" spans="1:12" ht="19.5" customHeight="1" x14ac:dyDescent="0.25">
      <c r="B11" s="1223" t="s">
        <v>308</v>
      </c>
      <c r="C11" s="1224"/>
      <c r="D11" s="1224"/>
      <c r="E11" s="1224"/>
      <c r="F11" s="385">
        <v>0</v>
      </c>
      <c r="H11" s="39"/>
      <c r="I11" s="39"/>
      <c r="J11" s="39"/>
      <c r="K11" s="39"/>
      <c r="L11" s="39"/>
    </row>
    <row r="12" spans="1:12" ht="19.5" customHeight="1" x14ac:dyDescent="0.25">
      <c r="B12" s="1223" t="s">
        <v>185</v>
      </c>
      <c r="C12" s="1224"/>
      <c r="D12" s="1224"/>
      <c r="E12" s="1224"/>
      <c r="F12" s="385">
        <v>0</v>
      </c>
      <c r="H12" s="39"/>
      <c r="I12" s="39"/>
      <c r="J12" s="39"/>
      <c r="K12" s="39"/>
      <c r="L12" s="39"/>
    </row>
    <row r="13" spans="1:12" ht="19.5" customHeight="1" x14ac:dyDescent="0.25">
      <c r="B13" s="1223" t="s">
        <v>186</v>
      </c>
      <c r="C13" s="1224"/>
      <c r="D13" s="1224"/>
      <c r="E13" s="1224"/>
      <c r="F13" s="385">
        <v>0.77</v>
      </c>
      <c r="H13" s="39"/>
      <c r="I13" s="39"/>
      <c r="J13" s="39"/>
      <c r="K13" s="49"/>
      <c r="L13" s="39"/>
    </row>
    <row r="14" spans="1:12" ht="19.5" customHeight="1" x14ac:dyDescent="0.25">
      <c r="B14" s="1223" t="s">
        <v>187</v>
      </c>
      <c r="C14" s="1224"/>
      <c r="D14" s="1224"/>
      <c r="E14" s="1224"/>
      <c r="F14" s="385">
        <v>1.1599999999999999</v>
      </c>
      <c r="H14" s="39"/>
      <c r="I14" s="39"/>
      <c r="J14" s="39"/>
      <c r="K14" s="49"/>
      <c r="L14" s="39"/>
    </row>
    <row r="15" spans="1:12" ht="19.5" customHeight="1" x14ac:dyDescent="0.25">
      <c r="B15" s="1223" t="s">
        <v>189</v>
      </c>
      <c r="C15" s="1224"/>
      <c r="D15" s="1224"/>
      <c r="E15" s="1224"/>
      <c r="F15" s="385">
        <v>6.49</v>
      </c>
      <c r="H15" s="39"/>
      <c r="I15" s="39"/>
      <c r="J15" s="39"/>
      <c r="K15" s="49"/>
      <c r="L15" s="39"/>
    </row>
    <row r="16" spans="1:12" ht="19.5" customHeight="1" x14ac:dyDescent="0.25">
      <c r="B16" s="1223" t="s">
        <v>467</v>
      </c>
      <c r="C16" s="1224"/>
      <c r="D16" s="1224"/>
      <c r="E16" s="1224"/>
      <c r="F16" s="385">
        <f>2+0.65+3+4.5</f>
        <v>10.15</v>
      </c>
      <c r="H16" s="39"/>
      <c r="I16" s="39"/>
      <c r="J16" s="39"/>
      <c r="K16" s="49"/>
      <c r="L16" s="39"/>
    </row>
    <row r="17" spans="2:12" ht="19.5" customHeight="1" x14ac:dyDescent="0.25">
      <c r="B17" s="1223"/>
      <c r="C17" s="1224"/>
      <c r="D17" s="1224"/>
      <c r="E17" s="1224"/>
      <c r="F17" s="385"/>
      <c r="H17" s="39"/>
      <c r="I17" s="40"/>
      <c r="J17" s="39"/>
      <c r="K17" s="49"/>
      <c r="L17" s="39"/>
    </row>
    <row r="18" spans="2:12" ht="19.5" customHeight="1" thickBot="1" x14ac:dyDescent="0.3">
      <c r="B18" s="1228" t="s">
        <v>13</v>
      </c>
      <c r="C18" s="1229"/>
      <c r="D18" s="1229"/>
      <c r="E18" s="1229"/>
      <c r="F18" s="386">
        <f>(((1+F10/100+F11/100+F12/100+F13/100)*(1+F14/100)*(1+F15/100))/(1-F16/100))-1</f>
        <v>0.26019999999999999</v>
      </c>
    </row>
    <row r="19" spans="2:12" ht="14.25" x14ac:dyDescent="0.2">
      <c r="B19" s="98"/>
      <c r="C19" s="98"/>
      <c r="D19" s="98"/>
      <c r="E19" s="98"/>
      <c r="F19" s="98"/>
      <c r="G19" s="98"/>
    </row>
    <row r="20" spans="2:12" ht="14.25" x14ac:dyDescent="0.2">
      <c r="B20" s="98" t="s">
        <v>309</v>
      </c>
      <c r="C20" s="98"/>
      <c r="D20" s="98"/>
      <c r="E20" s="98"/>
      <c r="F20" s="98"/>
      <c r="G20" s="98"/>
    </row>
    <row r="21" spans="2:12" ht="15" x14ac:dyDescent="0.25">
      <c r="B21" s="98" t="s">
        <v>403</v>
      </c>
      <c r="C21" s="25"/>
      <c r="D21" s="25"/>
      <c r="E21" s="25"/>
      <c r="F21" s="25"/>
      <c r="G21" s="40"/>
    </row>
    <row r="22" spans="2:12" ht="15" x14ac:dyDescent="0.25">
      <c r="B22" s="57"/>
      <c r="C22" s="25"/>
      <c r="D22" s="25"/>
      <c r="E22" s="25"/>
      <c r="F22" s="25"/>
      <c r="G22" s="40"/>
    </row>
    <row r="23" spans="2:12" ht="15" x14ac:dyDescent="0.25">
      <c r="B23" s="57"/>
      <c r="C23" s="25"/>
      <c r="D23" s="25"/>
      <c r="E23" s="25"/>
      <c r="F23" s="25"/>
      <c r="G23" s="40"/>
    </row>
    <row r="24" spans="2:12" ht="15" x14ac:dyDescent="0.25">
      <c r="B24" s="57"/>
      <c r="C24" s="25"/>
      <c r="D24" s="25"/>
      <c r="E24" s="25"/>
      <c r="F24" s="25"/>
      <c r="G24" s="40"/>
    </row>
    <row r="25" spans="2:12" ht="15" x14ac:dyDescent="0.25">
      <c r="B25" s="25"/>
      <c r="C25" s="25"/>
      <c r="D25" s="25"/>
      <c r="E25" s="25"/>
      <c r="F25" s="25"/>
      <c r="G25" s="40"/>
    </row>
    <row r="26" spans="2:12" ht="15" x14ac:dyDescent="0.25">
      <c r="B26" s="25"/>
      <c r="C26" s="25"/>
      <c r="D26" s="25"/>
      <c r="E26" s="25"/>
      <c r="F26" s="25"/>
      <c r="G26" s="40"/>
    </row>
    <row r="27" spans="2:12" ht="15" x14ac:dyDescent="0.25">
      <c r="B27" s="25"/>
      <c r="C27" s="25"/>
      <c r="D27" s="25"/>
      <c r="E27" s="25"/>
      <c r="F27" s="25"/>
      <c r="G27" s="40"/>
    </row>
    <row r="28" spans="2:12" ht="15" x14ac:dyDescent="0.25">
      <c r="B28" s="25"/>
      <c r="C28" s="25"/>
      <c r="D28" s="25"/>
      <c r="E28" s="25"/>
      <c r="F28" s="25"/>
      <c r="G28" s="40"/>
    </row>
    <row r="29" spans="2:12" ht="15" x14ac:dyDescent="0.25">
      <c r="B29" s="25"/>
      <c r="C29" s="25"/>
      <c r="D29" s="25"/>
      <c r="E29" s="25"/>
      <c r="F29" s="25"/>
      <c r="G29" s="40"/>
    </row>
    <row r="30" spans="2:12" ht="15.75" x14ac:dyDescent="0.25">
      <c r="B30" s="38" t="str">
        <f>Terrap.!B16</f>
        <v xml:space="preserve">  </v>
      </c>
      <c r="F30" s="38"/>
    </row>
    <row r="31" spans="2:12" x14ac:dyDescent="0.2">
      <c r="B31" s="41" t="str">
        <f>Terrap.!B17</f>
        <v xml:space="preserve">   </v>
      </c>
      <c r="F31" s="41"/>
    </row>
  </sheetData>
  <mergeCells count="19">
    <mergeCell ref="B18:E18"/>
    <mergeCell ref="B17:E17"/>
    <mergeCell ref="B11:E11"/>
    <mergeCell ref="B12:E12"/>
    <mergeCell ref="B13:E13"/>
    <mergeCell ref="B14:E14"/>
    <mergeCell ref="B15:E15"/>
    <mergeCell ref="B16:E16"/>
    <mergeCell ref="C1:G1"/>
    <mergeCell ref="C2:G2"/>
    <mergeCell ref="A1:B2"/>
    <mergeCell ref="B10:E10"/>
    <mergeCell ref="B9:E9"/>
    <mergeCell ref="G4:G6"/>
    <mergeCell ref="A7:G7"/>
    <mergeCell ref="E4:F6"/>
    <mergeCell ref="E3:F3"/>
    <mergeCell ref="D4:D6"/>
    <mergeCell ref="B6:C6"/>
  </mergeCells>
  <pageMargins left="0.51181102362204722" right="0.51181102362204722" top="0.78740157480314965" bottom="0.78740157480314965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topLeftCell="A43" zoomScale="115" zoomScaleSheetLayoutView="115" workbookViewId="0">
      <selection activeCell="B10" sqref="B10:Q16"/>
    </sheetView>
  </sheetViews>
  <sheetFormatPr defaultRowHeight="12.75" x14ac:dyDescent="0.2"/>
  <cols>
    <col min="1" max="1" width="12.5703125" style="1" customWidth="1"/>
    <col min="2" max="2" width="29.85546875" style="1" customWidth="1"/>
    <col min="3" max="3" width="9.42578125" style="1" customWidth="1"/>
    <col min="4" max="4" width="13.5703125" style="1" customWidth="1"/>
    <col min="5" max="5" width="8.85546875" style="1" customWidth="1"/>
    <col min="6" max="6" width="9.140625" style="1" customWidth="1"/>
    <col min="7" max="7" width="11.85546875" style="1" customWidth="1"/>
    <col min="8" max="8" width="9" style="1" customWidth="1"/>
    <col min="9" max="9" width="8.42578125" style="1" customWidth="1"/>
    <col min="10" max="10" width="11.28515625" style="1" customWidth="1"/>
    <col min="11" max="11" width="11.7109375" style="1" customWidth="1"/>
    <col min="12" max="12" width="10.7109375" style="1" customWidth="1"/>
    <col min="13" max="16384" width="9.140625" style="1"/>
  </cols>
  <sheetData>
    <row r="1" spans="1:12" ht="23.25" customHeight="1" x14ac:dyDescent="0.2">
      <c r="A1" s="870" t="str">
        <f>Terrap.!C1</f>
        <v>ESTADO DE MATO GROSSO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2"/>
    </row>
    <row r="2" spans="1:12" ht="23.25" customHeight="1" x14ac:dyDescent="0.2">
      <c r="A2" s="873" t="str">
        <f>Terrap.!C2</f>
        <v>PREFEITURA MUNICIPAL DE JACIARA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5"/>
    </row>
    <row r="3" spans="1:12" s="463" customFormat="1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6"/>
      <c r="K3" s="876"/>
      <c r="L3" s="877"/>
    </row>
    <row r="4" spans="1:12" s="463" customFormat="1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76"/>
      <c r="J4" s="880" t="str">
        <f>Terrap.!I4</f>
        <v>SINAPI - JANEIRO / 2019                                                                             ANP 12/2018 (com desoneração)</v>
      </c>
      <c r="K4" s="880"/>
      <c r="L4" s="881"/>
    </row>
    <row r="5" spans="1:12" s="463" customFormat="1" ht="15.75" customHeight="1" x14ac:dyDescent="0.2">
      <c r="A5" s="459" t="s">
        <v>59</v>
      </c>
      <c r="B5" s="876" t="str">
        <f>Terrap.!B5</f>
        <v>PREFEITURA MUNICIPAL DE JACIARA</v>
      </c>
      <c r="C5" s="876"/>
      <c r="D5" s="876"/>
      <c r="E5" s="876"/>
      <c r="F5" s="464" t="s">
        <v>455</v>
      </c>
      <c r="G5" s="878" t="str">
        <f>Terrap.!F5</f>
        <v>FEVEREIRO 2019</v>
      </c>
      <c r="H5" s="878"/>
      <c r="I5" s="878"/>
      <c r="J5" s="880"/>
      <c r="K5" s="880"/>
      <c r="L5" s="881"/>
    </row>
    <row r="6" spans="1:12" s="463" customFormat="1" ht="24.75" customHeight="1" thickBot="1" x14ac:dyDescent="0.25">
      <c r="A6" s="465" t="s">
        <v>60</v>
      </c>
      <c r="B6" s="879">
        <f>Pavim.!B6</f>
        <v>3632.82</v>
      </c>
      <c r="C6" s="879"/>
      <c r="D6" s="879"/>
      <c r="E6" s="879"/>
      <c r="F6" s="466" t="s">
        <v>61</v>
      </c>
      <c r="G6" s="467">
        <f>Terrap.!F6</f>
        <v>0.26019999999999999</v>
      </c>
      <c r="H6" s="467"/>
      <c r="I6" s="466" t="s">
        <v>62</v>
      </c>
      <c r="J6" s="882"/>
      <c r="K6" s="882"/>
      <c r="L6" s="883"/>
    </row>
    <row r="7" spans="1:12" ht="28.5" customHeight="1" thickBot="1" x14ac:dyDescent="0.25">
      <c r="A7" s="867" t="s">
        <v>364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9"/>
    </row>
    <row r="8" spans="1:12" ht="21" customHeight="1" x14ac:dyDescent="0.2">
      <c r="A8" s="358" t="s">
        <v>0</v>
      </c>
      <c r="B8" s="359" t="s">
        <v>144</v>
      </c>
      <c r="C8" s="359" t="s">
        <v>2</v>
      </c>
      <c r="D8" s="359" t="s">
        <v>3</v>
      </c>
      <c r="E8" s="359" t="s">
        <v>154</v>
      </c>
      <c r="F8" s="359" t="s">
        <v>153</v>
      </c>
      <c r="G8" s="359" t="s">
        <v>152</v>
      </c>
      <c r="H8" s="359"/>
      <c r="I8" s="359"/>
      <c r="J8" s="360"/>
      <c r="K8" s="361" t="s">
        <v>199</v>
      </c>
      <c r="L8" s="362" t="s">
        <v>13</v>
      </c>
    </row>
    <row r="9" spans="1:12" ht="28.5" customHeight="1" x14ac:dyDescent="0.2">
      <c r="A9" s="145" t="s">
        <v>78</v>
      </c>
      <c r="B9" s="914" t="s">
        <v>253</v>
      </c>
      <c r="C9" s="915"/>
      <c r="D9" s="915"/>
      <c r="E9" s="915"/>
      <c r="F9" s="915"/>
      <c r="G9" s="915"/>
      <c r="H9" s="915"/>
      <c r="I9" s="916"/>
      <c r="J9" s="45" t="s">
        <v>31</v>
      </c>
      <c r="K9" s="912">
        <f>SUM(L10:L11)</f>
        <v>0</v>
      </c>
      <c r="L9" s="913"/>
    </row>
    <row r="10" spans="1:12" ht="15" x14ac:dyDescent="0.2">
      <c r="A10" s="147" t="s">
        <v>23</v>
      </c>
      <c r="B10" s="148" t="s">
        <v>79</v>
      </c>
      <c r="C10" s="4" t="s">
        <v>5</v>
      </c>
      <c r="D10" s="15">
        <f>'Ruas Ben'!C19</f>
        <v>0</v>
      </c>
      <c r="E10" s="15">
        <v>1</v>
      </c>
      <c r="F10" s="16">
        <v>1.5</v>
      </c>
      <c r="G10" s="16"/>
      <c r="H10" s="16"/>
      <c r="I10" s="16"/>
      <c r="J10" s="16"/>
      <c r="K10" s="16"/>
      <c r="L10" s="149">
        <f>D10*E10*F10</f>
        <v>0</v>
      </c>
    </row>
    <row r="11" spans="1:12" ht="15" x14ac:dyDescent="0.2">
      <c r="A11" s="147" t="s">
        <v>44</v>
      </c>
      <c r="B11" s="148" t="s">
        <v>81</v>
      </c>
      <c r="C11" s="4" t="s">
        <v>82</v>
      </c>
      <c r="D11" s="15">
        <f>'Ruas Ben'!Q19</f>
        <v>0</v>
      </c>
      <c r="E11" s="16">
        <v>2.1</v>
      </c>
      <c r="F11" s="16">
        <v>0.35</v>
      </c>
      <c r="G11" s="16">
        <v>4</v>
      </c>
      <c r="H11" s="16"/>
      <c r="I11" s="16"/>
      <c r="J11" s="16"/>
      <c r="K11" s="16"/>
      <c r="L11" s="149">
        <f>D11*E11*F11*G11</f>
        <v>0</v>
      </c>
    </row>
    <row r="12" spans="1:12" ht="41.25" customHeight="1" x14ac:dyDescent="0.2">
      <c r="A12" s="145" t="s">
        <v>83</v>
      </c>
      <c r="B12" s="914" t="s">
        <v>107</v>
      </c>
      <c r="C12" s="915"/>
      <c r="D12" s="915"/>
      <c r="E12" s="915"/>
      <c r="F12" s="915"/>
      <c r="G12" s="915"/>
      <c r="H12" s="915"/>
      <c r="I12" s="916"/>
      <c r="J12" s="45" t="s">
        <v>31</v>
      </c>
      <c r="K12" s="912">
        <f>SUM(L13:L22)</f>
        <v>0</v>
      </c>
      <c r="L12" s="913"/>
    </row>
    <row r="13" spans="1:12" ht="15" x14ac:dyDescent="0.2">
      <c r="A13" s="147" t="s">
        <v>24</v>
      </c>
      <c r="B13" s="148" t="s">
        <v>80</v>
      </c>
      <c r="C13" s="4" t="s">
        <v>5</v>
      </c>
      <c r="D13" s="15">
        <f>'Ruas Ben'!D19</f>
        <v>0</v>
      </c>
      <c r="E13" s="16">
        <v>1.2</v>
      </c>
      <c r="F13" s="16">
        <v>1.7</v>
      </c>
      <c r="G13" s="16"/>
      <c r="H13" s="16"/>
      <c r="I13" s="16"/>
      <c r="J13" s="16"/>
      <c r="K13" s="16"/>
      <c r="L13" s="149">
        <f>D13*E13*F13</f>
        <v>0</v>
      </c>
    </row>
    <row r="14" spans="1:12" ht="15" x14ac:dyDescent="0.2">
      <c r="A14" s="147" t="s">
        <v>32</v>
      </c>
      <c r="B14" s="150" t="s">
        <v>84</v>
      </c>
      <c r="C14" s="14" t="s">
        <v>5</v>
      </c>
      <c r="D14" s="13">
        <f>'Ruas Ben'!E19</f>
        <v>0</v>
      </c>
      <c r="E14" s="13">
        <v>1.4</v>
      </c>
      <c r="F14" s="47">
        <v>1.9</v>
      </c>
      <c r="G14" s="47"/>
      <c r="H14" s="47"/>
      <c r="I14" s="47"/>
      <c r="J14" s="47"/>
      <c r="K14" s="47"/>
      <c r="L14" s="149">
        <f>D14*E14*F14</f>
        <v>0</v>
      </c>
    </row>
    <row r="15" spans="1:12" ht="15" x14ac:dyDescent="0.2">
      <c r="A15" s="147" t="s">
        <v>33</v>
      </c>
      <c r="B15" s="150" t="s">
        <v>85</v>
      </c>
      <c r="C15" s="14" t="s">
        <v>5</v>
      </c>
      <c r="D15" s="13">
        <f>'Ruas Ben'!F19</f>
        <v>0</v>
      </c>
      <c r="E15" s="13">
        <v>1.6</v>
      </c>
      <c r="F15" s="47">
        <v>2.2000000000000002</v>
      </c>
      <c r="G15" s="47"/>
      <c r="H15" s="47"/>
      <c r="I15" s="47"/>
      <c r="J15" s="47"/>
      <c r="K15" s="47"/>
      <c r="L15" s="151">
        <f>D15*E15*F15</f>
        <v>0</v>
      </c>
    </row>
    <row r="16" spans="1:12" ht="15" x14ac:dyDescent="0.2">
      <c r="A16" s="147" t="s">
        <v>34</v>
      </c>
      <c r="B16" s="148" t="s">
        <v>86</v>
      </c>
      <c r="C16" s="4" t="s">
        <v>5</v>
      </c>
      <c r="D16" s="15">
        <f>'Ruas Ben'!G19</f>
        <v>0</v>
      </c>
      <c r="E16" s="15">
        <v>1.8</v>
      </c>
      <c r="F16" s="16">
        <v>2.5</v>
      </c>
      <c r="G16" s="16"/>
      <c r="H16" s="16"/>
      <c r="I16" s="16"/>
      <c r="J16" s="16"/>
      <c r="K16" s="16"/>
      <c r="L16" s="151">
        <f>D16*E16*F16</f>
        <v>0</v>
      </c>
    </row>
    <row r="17" spans="1:12" ht="15" x14ac:dyDescent="0.2">
      <c r="A17" s="147" t="s">
        <v>37</v>
      </c>
      <c r="B17" s="152" t="s">
        <v>87</v>
      </c>
      <c r="C17" s="12" t="s">
        <v>5</v>
      </c>
      <c r="D17" s="16">
        <f>'Ruas Ben'!H19</f>
        <v>0</v>
      </c>
      <c r="E17" s="16">
        <v>2.1</v>
      </c>
      <c r="F17" s="16">
        <v>2.5</v>
      </c>
      <c r="G17" s="16"/>
      <c r="H17" s="16"/>
      <c r="I17" s="16"/>
      <c r="J17" s="16"/>
      <c r="K17" s="16"/>
      <c r="L17" s="151">
        <f>D17*E17*F17</f>
        <v>0</v>
      </c>
    </row>
    <row r="18" spans="1:12" ht="15" x14ac:dyDescent="0.2">
      <c r="A18" s="147" t="s">
        <v>46</v>
      </c>
      <c r="B18" s="152" t="s">
        <v>88</v>
      </c>
      <c r="C18" s="12" t="s">
        <v>82</v>
      </c>
      <c r="D18" s="26" t="s">
        <v>246</v>
      </c>
      <c r="E18" s="26"/>
      <c r="F18" s="26"/>
      <c r="G18" s="26"/>
      <c r="H18" s="26"/>
      <c r="I18" s="26"/>
      <c r="J18" s="26"/>
      <c r="K18" s="26"/>
      <c r="L18" s="149"/>
    </row>
    <row r="19" spans="1:12" ht="15" x14ac:dyDescent="0.2">
      <c r="A19" s="147" t="s">
        <v>269</v>
      </c>
      <c r="B19" s="152" t="s">
        <v>268</v>
      </c>
      <c r="C19" s="12" t="s">
        <v>82</v>
      </c>
      <c r="D19" s="16">
        <f>'Ruas Ben'!M19</f>
        <v>0</v>
      </c>
      <c r="E19" s="16">
        <f>1.5+1</f>
        <v>2.5</v>
      </c>
      <c r="F19" s="16">
        <f>1.3+0.2+0.2+0.5</f>
        <v>2.2000000000000002</v>
      </c>
      <c r="G19" s="16">
        <f>1.9+1</f>
        <v>2.9</v>
      </c>
      <c r="H19" s="16"/>
      <c r="I19" s="153"/>
      <c r="J19" s="16"/>
      <c r="K19" s="153"/>
      <c r="L19" s="149">
        <f>D19*E19*F19*G19</f>
        <v>0</v>
      </c>
    </row>
    <row r="20" spans="1:12" ht="15" x14ac:dyDescent="0.2">
      <c r="A20" s="147" t="s">
        <v>270</v>
      </c>
      <c r="B20" s="152" t="s">
        <v>205</v>
      </c>
      <c r="C20" s="12" t="s">
        <v>82</v>
      </c>
      <c r="D20" s="16">
        <f>'Ruas Ben'!L19</f>
        <v>0</v>
      </c>
      <c r="E20" s="16">
        <f>1.4+1</f>
        <v>2.4</v>
      </c>
      <c r="F20" s="16">
        <f>1+0.2+0.2+0.5</f>
        <v>1.9</v>
      </c>
      <c r="G20" s="16">
        <f t="shared" ref="G20:G22" si="0">1.9+1</f>
        <v>2.9</v>
      </c>
      <c r="H20" s="16"/>
      <c r="I20" s="153"/>
      <c r="J20" s="16"/>
      <c r="K20" s="153"/>
      <c r="L20" s="149">
        <f>D20*E20*F20*G20</f>
        <v>0</v>
      </c>
    </row>
    <row r="21" spans="1:12" ht="15" x14ac:dyDescent="0.2">
      <c r="A21" s="147" t="s">
        <v>281</v>
      </c>
      <c r="B21" s="152" t="s">
        <v>206</v>
      </c>
      <c r="C21" s="12" t="s">
        <v>82</v>
      </c>
      <c r="D21" s="16">
        <f>'Ruas Ben'!K19</f>
        <v>0</v>
      </c>
      <c r="E21" s="16">
        <f>1.3+1</f>
        <v>2.2999999999999998</v>
      </c>
      <c r="F21" s="16">
        <f>0.8+0.2+0.2+0.5</f>
        <v>1.7</v>
      </c>
      <c r="G21" s="16">
        <f t="shared" si="0"/>
        <v>2.9</v>
      </c>
      <c r="H21" s="16"/>
      <c r="I21" s="153"/>
      <c r="J21" s="16"/>
      <c r="K21" s="153"/>
      <c r="L21" s="149">
        <f>D21*E21*F21*G21</f>
        <v>0</v>
      </c>
    </row>
    <row r="22" spans="1:12" ht="15" x14ac:dyDescent="0.2">
      <c r="A22" s="147" t="s">
        <v>282</v>
      </c>
      <c r="B22" s="152" t="s">
        <v>200</v>
      </c>
      <c r="C22" s="12" t="s">
        <v>82</v>
      </c>
      <c r="D22" s="16">
        <f>'Ruas Ben'!P19</f>
        <v>0</v>
      </c>
      <c r="E22" s="16">
        <f>1.85+1</f>
        <v>2.85</v>
      </c>
      <c r="F22" s="16">
        <v>2</v>
      </c>
      <c r="G22" s="16">
        <f t="shared" si="0"/>
        <v>2.9</v>
      </c>
      <c r="H22" s="16"/>
      <c r="I22" s="153"/>
      <c r="J22" s="16"/>
      <c r="K22" s="153"/>
      <c r="L22" s="149">
        <f>D22*E22*F22*G22</f>
        <v>0</v>
      </c>
    </row>
    <row r="23" spans="1:12" ht="28.5" x14ac:dyDescent="0.2">
      <c r="A23" s="145" t="s">
        <v>89</v>
      </c>
      <c r="B23" s="917" t="s">
        <v>361</v>
      </c>
      <c r="C23" s="918"/>
      <c r="D23" s="918"/>
      <c r="E23" s="918"/>
      <c r="F23" s="918"/>
      <c r="G23" s="919"/>
      <c r="H23" s="46" t="s">
        <v>342</v>
      </c>
      <c r="I23" s="46"/>
      <c r="J23" s="154" t="s">
        <v>343</v>
      </c>
      <c r="K23" s="45" t="s">
        <v>6</v>
      </c>
      <c r="L23" s="146">
        <f>SUM(L24:L29)</f>
        <v>0</v>
      </c>
    </row>
    <row r="24" spans="1:12" ht="15" x14ac:dyDescent="0.2">
      <c r="A24" s="155" t="s">
        <v>25</v>
      </c>
      <c r="B24" s="156" t="s">
        <v>79</v>
      </c>
      <c r="C24" s="48" t="s">
        <v>5</v>
      </c>
      <c r="D24" s="16">
        <f>D10</f>
        <v>0</v>
      </c>
      <c r="E24" s="16"/>
      <c r="F24" s="16">
        <f>F10</f>
        <v>1.5</v>
      </c>
      <c r="G24" s="16"/>
      <c r="H24" s="16">
        <v>2</v>
      </c>
      <c r="I24" s="153"/>
      <c r="J24" s="16">
        <v>10</v>
      </c>
      <c r="K24" s="153"/>
      <c r="L24" s="149">
        <f t="shared" ref="L24:L29" si="1">(D24*F24*H24)/J24</f>
        <v>0</v>
      </c>
    </row>
    <row r="25" spans="1:12" ht="15" x14ac:dyDescent="0.2">
      <c r="A25" s="155" t="s">
        <v>26</v>
      </c>
      <c r="B25" s="156" t="s">
        <v>80</v>
      </c>
      <c r="C25" s="48" t="s">
        <v>5</v>
      </c>
      <c r="D25" s="16">
        <f>D13</f>
        <v>0</v>
      </c>
      <c r="E25" s="16"/>
      <c r="F25" s="16">
        <f>F13</f>
        <v>1.7</v>
      </c>
      <c r="G25" s="16"/>
      <c r="H25" s="16">
        <v>2</v>
      </c>
      <c r="I25" s="153"/>
      <c r="J25" s="16">
        <f>J24</f>
        <v>10</v>
      </c>
      <c r="K25" s="153"/>
      <c r="L25" s="149">
        <f t="shared" si="1"/>
        <v>0</v>
      </c>
    </row>
    <row r="26" spans="1:12" ht="15" x14ac:dyDescent="0.2">
      <c r="A26" s="155" t="s">
        <v>27</v>
      </c>
      <c r="B26" s="156" t="s">
        <v>84</v>
      </c>
      <c r="C26" s="48" t="s">
        <v>5</v>
      </c>
      <c r="D26" s="16">
        <f>D14</f>
        <v>0</v>
      </c>
      <c r="E26" s="16"/>
      <c r="F26" s="16">
        <f>F14</f>
        <v>1.9</v>
      </c>
      <c r="G26" s="16"/>
      <c r="H26" s="16">
        <v>2</v>
      </c>
      <c r="I26" s="153"/>
      <c r="J26" s="16">
        <f t="shared" ref="J26:J29" si="2">J25</f>
        <v>10</v>
      </c>
      <c r="K26" s="153"/>
      <c r="L26" s="149">
        <f t="shared" si="1"/>
        <v>0</v>
      </c>
    </row>
    <row r="27" spans="1:12" ht="15" x14ac:dyDescent="0.2">
      <c r="A27" s="155" t="s">
        <v>28</v>
      </c>
      <c r="B27" s="152" t="s">
        <v>85</v>
      </c>
      <c r="C27" s="48" t="s">
        <v>5</v>
      </c>
      <c r="D27" s="16">
        <f>D15</f>
        <v>0</v>
      </c>
      <c r="E27" s="16"/>
      <c r="F27" s="16">
        <f>F15</f>
        <v>2.2000000000000002</v>
      </c>
      <c r="G27" s="16"/>
      <c r="H27" s="16">
        <v>2</v>
      </c>
      <c r="I27" s="153"/>
      <c r="J27" s="16">
        <f t="shared" si="2"/>
        <v>10</v>
      </c>
      <c r="K27" s="153"/>
      <c r="L27" s="149">
        <f t="shared" si="1"/>
        <v>0</v>
      </c>
    </row>
    <row r="28" spans="1:12" ht="15" x14ac:dyDescent="0.2">
      <c r="A28" s="155" t="s">
        <v>29</v>
      </c>
      <c r="B28" s="152" t="s">
        <v>86</v>
      </c>
      <c r="C28" s="12" t="s">
        <v>5</v>
      </c>
      <c r="D28" s="16">
        <f>D16</f>
        <v>0</v>
      </c>
      <c r="E28" s="16"/>
      <c r="F28" s="16">
        <f>F16</f>
        <v>2.5</v>
      </c>
      <c r="G28" s="16"/>
      <c r="H28" s="16">
        <v>2</v>
      </c>
      <c r="I28" s="153"/>
      <c r="J28" s="16">
        <f t="shared" si="2"/>
        <v>10</v>
      </c>
      <c r="K28" s="153"/>
      <c r="L28" s="149">
        <f t="shared" si="1"/>
        <v>0</v>
      </c>
    </row>
    <row r="29" spans="1:12" ht="15" x14ac:dyDescent="0.2">
      <c r="A29" s="155" t="s">
        <v>47</v>
      </c>
      <c r="B29" s="152" t="s">
        <v>87</v>
      </c>
      <c r="C29" s="12" t="s">
        <v>5</v>
      </c>
      <c r="D29" s="16">
        <f>D17</f>
        <v>0</v>
      </c>
      <c r="E29" s="16"/>
      <c r="F29" s="16">
        <f>F17</f>
        <v>2.5</v>
      </c>
      <c r="G29" s="16"/>
      <c r="H29" s="16">
        <v>2</v>
      </c>
      <c r="I29" s="153"/>
      <c r="J29" s="16">
        <f t="shared" si="2"/>
        <v>10</v>
      </c>
      <c r="K29" s="153"/>
      <c r="L29" s="149">
        <f t="shared" si="1"/>
        <v>0</v>
      </c>
    </row>
    <row r="30" spans="1:12" ht="36" customHeight="1" x14ac:dyDescent="0.2">
      <c r="A30" s="157" t="s">
        <v>90</v>
      </c>
      <c r="B30" s="920" t="s">
        <v>297</v>
      </c>
      <c r="C30" s="921"/>
      <c r="D30" s="921"/>
      <c r="E30" s="921"/>
      <c r="F30" s="921"/>
      <c r="G30" s="921"/>
      <c r="H30" s="921"/>
      <c r="I30" s="922"/>
      <c r="J30" s="357" t="s">
        <v>31</v>
      </c>
      <c r="K30" s="912">
        <f>SUM(L31:L40)</f>
        <v>0</v>
      </c>
      <c r="L30" s="913"/>
    </row>
    <row r="31" spans="1:12" ht="15" x14ac:dyDescent="0.2">
      <c r="A31" s="155" t="s">
        <v>190</v>
      </c>
      <c r="B31" s="156" t="s">
        <v>79</v>
      </c>
      <c r="C31" s="48" t="s">
        <v>5</v>
      </c>
      <c r="D31" s="47">
        <f>D10</f>
        <v>0</v>
      </c>
      <c r="E31" s="47">
        <f>E10</f>
        <v>1</v>
      </c>
      <c r="F31" s="47">
        <v>0.1</v>
      </c>
      <c r="G31" s="47"/>
      <c r="H31" s="47"/>
      <c r="I31" s="153"/>
      <c r="J31" s="47"/>
      <c r="K31" s="47"/>
      <c r="L31" s="151">
        <f t="shared" ref="L31:L36" si="3">E31*F31*D31</f>
        <v>0</v>
      </c>
    </row>
    <row r="32" spans="1:12" ht="15" x14ac:dyDescent="0.2">
      <c r="A32" s="155" t="s">
        <v>191</v>
      </c>
      <c r="B32" s="156" t="s">
        <v>80</v>
      </c>
      <c r="C32" s="48" t="s">
        <v>5</v>
      </c>
      <c r="D32" s="47">
        <f>D25</f>
        <v>0</v>
      </c>
      <c r="E32" s="47">
        <f>E13</f>
        <v>1.2</v>
      </c>
      <c r="F32" s="47">
        <v>0.1</v>
      </c>
      <c r="G32" s="47"/>
      <c r="H32" s="47"/>
      <c r="I32" s="153"/>
      <c r="J32" s="47"/>
      <c r="K32" s="47"/>
      <c r="L32" s="151">
        <f t="shared" si="3"/>
        <v>0</v>
      </c>
    </row>
    <row r="33" spans="1:13" ht="15" x14ac:dyDescent="0.2">
      <c r="A33" s="155" t="s">
        <v>192</v>
      </c>
      <c r="B33" s="156" t="s">
        <v>84</v>
      </c>
      <c r="C33" s="48" t="s">
        <v>5</v>
      </c>
      <c r="D33" s="47">
        <f>D26</f>
        <v>0</v>
      </c>
      <c r="E33" s="47">
        <f>E14</f>
        <v>1.4</v>
      </c>
      <c r="F33" s="47">
        <v>0.1</v>
      </c>
      <c r="G33" s="47"/>
      <c r="H33" s="47"/>
      <c r="I33" s="153"/>
      <c r="J33" s="47"/>
      <c r="K33" s="47"/>
      <c r="L33" s="151">
        <f t="shared" si="3"/>
        <v>0</v>
      </c>
    </row>
    <row r="34" spans="1:13" ht="15" x14ac:dyDescent="0.2">
      <c r="A34" s="155" t="s">
        <v>193</v>
      </c>
      <c r="B34" s="152" t="s">
        <v>85</v>
      </c>
      <c r="C34" s="48" t="s">
        <v>5</v>
      </c>
      <c r="D34" s="47">
        <f t="shared" ref="D34:E36" si="4">D15</f>
        <v>0</v>
      </c>
      <c r="E34" s="16">
        <f t="shared" si="4"/>
        <v>1.6</v>
      </c>
      <c r="F34" s="47">
        <v>0.1</v>
      </c>
      <c r="G34" s="16"/>
      <c r="H34" s="16"/>
      <c r="I34" s="153"/>
      <c r="J34" s="16"/>
      <c r="K34" s="16"/>
      <c r="L34" s="149">
        <f t="shared" si="3"/>
        <v>0</v>
      </c>
    </row>
    <row r="35" spans="1:13" ht="15" x14ac:dyDescent="0.2">
      <c r="A35" s="155" t="s">
        <v>194</v>
      </c>
      <c r="B35" s="152" t="s">
        <v>86</v>
      </c>
      <c r="C35" s="12" t="s">
        <v>5</v>
      </c>
      <c r="D35" s="47">
        <f t="shared" si="4"/>
        <v>0</v>
      </c>
      <c r="E35" s="16">
        <f t="shared" si="4"/>
        <v>1.8</v>
      </c>
      <c r="F35" s="47">
        <v>0.1</v>
      </c>
      <c r="G35" s="16"/>
      <c r="H35" s="16"/>
      <c r="I35" s="153"/>
      <c r="J35" s="16"/>
      <c r="K35" s="16"/>
      <c r="L35" s="149">
        <f t="shared" si="3"/>
        <v>0</v>
      </c>
    </row>
    <row r="36" spans="1:13" ht="15" x14ac:dyDescent="0.2">
      <c r="A36" s="155" t="s">
        <v>195</v>
      </c>
      <c r="B36" s="152" t="s">
        <v>87</v>
      </c>
      <c r="C36" s="12" t="s">
        <v>5</v>
      </c>
      <c r="D36" s="47">
        <f t="shared" si="4"/>
        <v>0</v>
      </c>
      <c r="E36" s="16">
        <f t="shared" si="4"/>
        <v>2.1</v>
      </c>
      <c r="F36" s="47">
        <v>0.1</v>
      </c>
      <c r="G36" s="16"/>
      <c r="H36" s="16"/>
      <c r="I36" s="153"/>
      <c r="J36" s="16"/>
      <c r="K36" s="16"/>
      <c r="L36" s="149">
        <f t="shared" si="3"/>
        <v>0</v>
      </c>
    </row>
    <row r="37" spans="1:13" ht="15" x14ac:dyDescent="0.2">
      <c r="A37" s="155" t="s">
        <v>196</v>
      </c>
      <c r="B37" s="152" t="str">
        <f>B19</f>
        <v>Poço de Visita - Coletor de Ø100</v>
      </c>
      <c r="C37" s="12" t="s">
        <v>82</v>
      </c>
      <c r="D37" s="16">
        <f t="shared" ref="D37:E40" si="5">D19</f>
        <v>0</v>
      </c>
      <c r="E37" s="16">
        <f t="shared" si="5"/>
        <v>2.5</v>
      </c>
      <c r="F37" s="16">
        <v>0.1</v>
      </c>
      <c r="G37" s="16">
        <f>G19</f>
        <v>2.9</v>
      </c>
      <c r="H37" s="16"/>
      <c r="I37" s="153"/>
      <c r="J37" s="16"/>
      <c r="K37" s="153"/>
      <c r="L37" s="149">
        <f>E37*F37*G37*D37</f>
        <v>0</v>
      </c>
    </row>
    <row r="38" spans="1:13" ht="17.25" customHeight="1" x14ac:dyDescent="0.2">
      <c r="A38" s="155" t="s">
        <v>197</v>
      </c>
      <c r="B38" s="152" t="str">
        <f>B20</f>
        <v>Poço de Visita - Coletor de Ø80</v>
      </c>
      <c r="C38" s="12" t="s">
        <v>82</v>
      </c>
      <c r="D38" s="16">
        <f t="shared" si="5"/>
        <v>0</v>
      </c>
      <c r="E38" s="16">
        <f t="shared" si="5"/>
        <v>2.4</v>
      </c>
      <c r="F38" s="16">
        <v>0.1</v>
      </c>
      <c r="G38" s="16">
        <f>G20</f>
        <v>2.9</v>
      </c>
      <c r="H38" s="16"/>
      <c r="I38" s="153"/>
      <c r="J38" s="16"/>
      <c r="K38" s="153"/>
      <c r="L38" s="149">
        <f>E38*F38*G38*D38</f>
        <v>0</v>
      </c>
      <c r="M38" s="23"/>
    </row>
    <row r="39" spans="1:13" ht="28.5" customHeight="1" x14ac:dyDescent="0.2">
      <c r="A39" s="155" t="s">
        <v>207</v>
      </c>
      <c r="B39" s="152" t="str">
        <f>B21</f>
        <v>Poço de Visita - Coletor de Ø60</v>
      </c>
      <c r="C39" s="12" t="s">
        <v>82</v>
      </c>
      <c r="D39" s="16">
        <f t="shared" si="5"/>
        <v>0</v>
      </c>
      <c r="E39" s="16">
        <f t="shared" si="5"/>
        <v>2.2999999999999998</v>
      </c>
      <c r="F39" s="16">
        <v>0.1</v>
      </c>
      <c r="G39" s="16">
        <f>G21</f>
        <v>2.9</v>
      </c>
      <c r="H39" s="16"/>
      <c r="I39" s="153"/>
      <c r="J39" s="16"/>
      <c r="K39" s="153"/>
      <c r="L39" s="149">
        <f>E39*F39*G39*D39</f>
        <v>0</v>
      </c>
      <c r="M39" s="24"/>
    </row>
    <row r="40" spans="1:13" ht="15" customHeight="1" x14ac:dyDescent="0.2">
      <c r="A40" s="155" t="s">
        <v>283</v>
      </c>
      <c r="B40" s="152" t="str">
        <f>B22</f>
        <v>Caixa Coletora</v>
      </c>
      <c r="C40" s="12" t="s">
        <v>82</v>
      </c>
      <c r="D40" s="16">
        <f t="shared" si="5"/>
        <v>0</v>
      </c>
      <c r="E40" s="16">
        <f t="shared" si="5"/>
        <v>2.85</v>
      </c>
      <c r="F40" s="16">
        <v>0.1</v>
      </c>
      <c r="G40" s="16">
        <f>G22</f>
        <v>2.9</v>
      </c>
      <c r="H40" s="16"/>
      <c r="I40" s="153"/>
      <c r="J40" s="16"/>
      <c r="K40" s="153"/>
      <c r="L40" s="149">
        <f>E40*F40*G40*D40</f>
        <v>0</v>
      </c>
      <c r="M40" s="24"/>
    </row>
    <row r="41" spans="1:13" ht="33" customHeight="1" x14ac:dyDescent="0.2">
      <c r="A41" s="926" t="s">
        <v>198</v>
      </c>
      <c r="B41" s="927" t="s">
        <v>362</v>
      </c>
      <c r="C41" s="910" t="s">
        <v>31</v>
      </c>
      <c r="D41" s="911" t="s">
        <v>145</v>
      </c>
      <c r="E41" s="911" t="s">
        <v>146</v>
      </c>
      <c r="F41" s="911"/>
      <c r="G41" s="911" t="s">
        <v>147</v>
      </c>
      <c r="H41" s="911" t="s">
        <v>148</v>
      </c>
      <c r="I41" s="911"/>
      <c r="J41" s="911" t="s">
        <v>162</v>
      </c>
      <c r="K41" s="906" t="s">
        <v>392</v>
      </c>
      <c r="L41" s="907"/>
    </row>
    <row r="42" spans="1:13" ht="33" customHeight="1" x14ac:dyDescent="0.2">
      <c r="A42" s="926"/>
      <c r="B42" s="928"/>
      <c r="C42" s="910"/>
      <c r="D42" s="911"/>
      <c r="E42" s="27" t="s">
        <v>149</v>
      </c>
      <c r="F42" s="27" t="s">
        <v>150</v>
      </c>
      <c r="G42" s="911"/>
      <c r="H42" s="911"/>
      <c r="I42" s="911"/>
      <c r="J42" s="911"/>
      <c r="K42" s="908">
        <f>SUM(L43:L52)</f>
        <v>0</v>
      </c>
      <c r="L42" s="909"/>
    </row>
    <row r="43" spans="1:13" ht="15" customHeight="1" x14ac:dyDescent="0.2">
      <c r="A43" s="147" t="s">
        <v>344</v>
      </c>
      <c r="B43" s="150" t="s">
        <v>79</v>
      </c>
      <c r="C43" s="14" t="s">
        <v>5</v>
      </c>
      <c r="D43" s="13">
        <f t="shared" ref="D43:D49" si="6">D31</f>
        <v>0</v>
      </c>
      <c r="E43" s="13">
        <f>E10</f>
        <v>1</v>
      </c>
      <c r="F43" s="13">
        <f>F10</f>
        <v>1.5</v>
      </c>
      <c r="G43" s="28">
        <f t="shared" ref="G43:G48" si="7">D43*E43*F43</f>
        <v>0</v>
      </c>
      <c r="H43" s="13" t="s">
        <v>161</v>
      </c>
      <c r="I43" s="29">
        <f>((0.2*0.2))*3.1416</f>
        <v>0.12565999999999999</v>
      </c>
      <c r="J43" s="13" t="s">
        <v>151</v>
      </c>
      <c r="K43" s="13">
        <f t="shared" ref="K43:K48" si="8">I43*D43</f>
        <v>0</v>
      </c>
      <c r="L43" s="158">
        <f t="shared" ref="L43:L48" si="9">G43-K43</f>
        <v>0</v>
      </c>
    </row>
    <row r="44" spans="1:13" ht="15" customHeight="1" x14ac:dyDescent="0.2">
      <c r="A44" s="147" t="s">
        <v>345</v>
      </c>
      <c r="B44" s="150" t="s">
        <v>80</v>
      </c>
      <c r="C44" s="14" t="s">
        <v>5</v>
      </c>
      <c r="D44" s="13">
        <f t="shared" si="6"/>
        <v>0</v>
      </c>
      <c r="E44" s="13">
        <f>E11</f>
        <v>2.1</v>
      </c>
      <c r="F44" s="13">
        <f>F13</f>
        <v>1.7</v>
      </c>
      <c r="G44" s="28">
        <f>D44*E44*F44</f>
        <v>0</v>
      </c>
      <c r="H44" s="13" t="s">
        <v>161</v>
      </c>
      <c r="I44" s="29">
        <f>((0.3*0.3))*3.1416</f>
        <v>0.28273999999999999</v>
      </c>
      <c r="J44" s="13" t="s">
        <v>151</v>
      </c>
      <c r="K44" s="13">
        <f t="shared" si="8"/>
        <v>0</v>
      </c>
      <c r="L44" s="158">
        <f t="shared" si="9"/>
        <v>0</v>
      </c>
    </row>
    <row r="45" spans="1:13" ht="15" customHeight="1" x14ac:dyDescent="0.2">
      <c r="A45" s="147" t="s">
        <v>346</v>
      </c>
      <c r="B45" s="150" t="s">
        <v>84</v>
      </c>
      <c r="C45" s="14" t="s">
        <v>5</v>
      </c>
      <c r="D45" s="13">
        <f t="shared" si="6"/>
        <v>0</v>
      </c>
      <c r="E45" s="13">
        <f>E14</f>
        <v>1.4</v>
      </c>
      <c r="F45" s="13">
        <f>F14</f>
        <v>1.9</v>
      </c>
      <c r="G45" s="28">
        <f>D45*E45*F45</f>
        <v>0</v>
      </c>
      <c r="H45" s="13" t="s">
        <v>161</v>
      </c>
      <c r="I45" s="29">
        <f>((0.4*0.4))*3.1416</f>
        <v>0.50266</v>
      </c>
      <c r="J45" s="13" t="s">
        <v>151</v>
      </c>
      <c r="K45" s="13">
        <f t="shared" si="8"/>
        <v>0</v>
      </c>
      <c r="L45" s="158">
        <f t="shared" si="9"/>
        <v>0</v>
      </c>
    </row>
    <row r="46" spans="1:13" ht="15" customHeight="1" x14ac:dyDescent="0.2">
      <c r="A46" s="147" t="s">
        <v>347</v>
      </c>
      <c r="B46" s="150" t="s">
        <v>85</v>
      </c>
      <c r="C46" s="14" t="s">
        <v>5</v>
      </c>
      <c r="D46" s="13">
        <f t="shared" si="6"/>
        <v>0</v>
      </c>
      <c r="E46" s="13">
        <f t="shared" ref="E46:F48" si="10">E15</f>
        <v>1.6</v>
      </c>
      <c r="F46" s="13">
        <f t="shared" si="10"/>
        <v>2.2000000000000002</v>
      </c>
      <c r="G46" s="28">
        <f>D46*E46*F46</f>
        <v>0</v>
      </c>
      <c r="H46" s="13" t="s">
        <v>161</v>
      </c>
      <c r="I46" s="29">
        <f>((0.5*0.5))*3.1416</f>
        <v>0.78539999999999999</v>
      </c>
      <c r="J46" s="13" t="s">
        <v>151</v>
      </c>
      <c r="K46" s="13">
        <f t="shared" si="8"/>
        <v>0</v>
      </c>
      <c r="L46" s="158">
        <f t="shared" si="9"/>
        <v>0</v>
      </c>
    </row>
    <row r="47" spans="1:13" ht="15" customHeight="1" x14ac:dyDescent="0.2">
      <c r="A47" s="147" t="s">
        <v>348</v>
      </c>
      <c r="B47" s="150" t="s">
        <v>86</v>
      </c>
      <c r="C47" s="14" t="s">
        <v>5</v>
      </c>
      <c r="D47" s="13">
        <f t="shared" si="6"/>
        <v>0</v>
      </c>
      <c r="E47" s="13">
        <f t="shared" si="10"/>
        <v>1.8</v>
      </c>
      <c r="F47" s="13">
        <f t="shared" si="10"/>
        <v>2.5</v>
      </c>
      <c r="G47" s="28">
        <f t="shared" si="7"/>
        <v>0</v>
      </c>
      <c r="H47" s="13" t="s">
        <v>161</v>
      </c>
      <c r="I47" s="29">
        <f>((0.6*0.6))*3.1416</f>
        <v>1.1309800000000001</v>
      </c>
      <c r="J47" s="13" t="s">
        <v>151</v>
      </c>
      <c r="K47" s="13">
        <f t="shared" si="8"/>
        <v>0</v>
      </c>
      <c r="L47" s="158">
        <f t="shared" si="9"/>
        <v>0</v>
      </c>
    </row>
    <row r="48" spans="1:13" ht="15" customHeight="1" x14ac:dyDescent="0.2">
      <c r="A48" s="147" t="s">
        <v>349</v>
      </c>
      <c r="B48" s="150" t="s">
        <v>87</v>
      </c>
      <c r="C48" s="14" t="s">
        <v>5</v>
      </c>
      <c r="D48" s="13">
        <f t="shared" si="6"/>
        <v>0</v>
      </c>
      <c r="E48" s="13">
        <f t="shared" si="10"/>
        <v>2.1</v>
      </c>
      <c r="F48" s="13">
        <f t="shared" si="10"/>
        <v>2.5</v>
      </c>
      <c r="G48" s="28">
        <f t="shared" si="7"/>
        <v>0</v>
      </c>
      <c r="H48" s="13" t="s">
        <v>161</v>
      </c>
      <c r="I48" s="29">
        <f>((0.75*0.75))*3.1416</f>
        <v>1.76715</v>
      </c>
      <c r="J48" s="13" t="s">
        <v>151</v>
      </c>
      <c r="K48" s="13">
        <f t="shared" si="8"/>
        <v>0</v>
      </c>
      <c r="L48" s="158">
        <f t="shared" si="9"/>
        <v>0</v>
      </c>
    </row>
    <row r="49" spans="1:13" ht="15" customHeight="1" x14ac:dyDescent="0.2">
      <c r="A49" s="147" t="s">
        <v>350</v>
      </c>
      <c r="B49" s="148" t="str">
        <f>B19</f>
        <v>Poço de Visita - Coletor de Ø100</v>
      </c>
      <c r="C49" s="4" t="s">
        <v>82</v>
      </c>
      <c r="D49" s="16">
        <f t="shared" si="6"/>
        <v>0</v>
      </c>
      <c r="E49" s="15">
        <f>E37</f>
        <v>2.5</v>
      </c>
      <c r="F49" s="15">
        <f>F19</f>
        <v>2.2000000000000002</v>
      </c>
      <c r="G49" s="15">
        <f>G37</f>
        <v>2.9</v>
      </c>
      <c r="H49" s="923" t="s">
        <v>211</v>
      </c>
      <c r="I49" s="26">
        <f>E49*F49*G49</f>
        <v>15.95</v>
      </c>
      <c r="J49" s="923" t="s">
        <v>210</v>
      </c>
      <c r="K49" s="26">
        <f>1.9*1.5*F19</f>
        <v>6.27</v>
      </c>
      <c r="L49" s="159">
        <f>(I49-K49)*D49</f>
        <v>0</v>
      </c>
    </row>
    <row r="50" spans="1:13" ht="15" customHeight="1" x14ac:dyDescent="0.2">
      <c r="A50" s="147" t="s">
        <v>351</v>
      </c>
      <c r="B50" s="148" t="str">
        <f>B20</f>
        <v>Poço de Visita - Coletor de Ø80</v>
      </c>
      <c r="C50" s="4" t="s">
        <v>82</v>
      </c>
      <c r="D50" s="16">
        <f>D38</f>
        <v>0</v>
      </c>
      <c r="E50" s="15">
        <f>E38</f>
        <v>2.4</v>
      </c>
      <c r="F50" s="15">
        <f>F20</f>
        <v>1.9</v>
      </c>
      <c r="G50" s="15">
        <f>G38</f>
        <v>2.9</v>
      </c>
      <c r="H50" s="924"/>
      <c r="I50" s="26">
        <f>E50*F50*G50</f>
        <v>13.224</v>
      </c>
      <c r="J50" s="924"/>
      <c r="K50" s="26">
        <f>1.9*1.4*F20</f>
        <v>5.0540000000000003</v>
      </c>
      <c r="L50" s="159">
        <f>(I50-K50)*D50</f>
        <v>0</v>
      </c>
    </row>
    <row r="51" spans="1:13" ht="15" x14ac:dyDescent="0.2">
      <c r="A51" s="147" t="s">
        <v>352</v>
      </c>
      <c r="B51" s="148" t="str">
        <f>B21</f>
        <v>Poço de Visita - Coletor de Ø60</v>
      </c>
      <c r="C51" s="4" t="s">
        <v>82</v>
      </c>
      <c r="D51" s="16">
        <f>D39</f>
        <v>0</v>
      </c>
      <c r="E51" s="15">
        <f>E39</f>
        <v>2.2999999999999998</v>
      </c>
      <c r="F51" s="15">
        <f>F21</f>
        <v>1.7</v>
      </c>
      <c r="G51" s="15">
        <f>G39</f>
        <v>2.9</v>
      </c>
      <c r="H51" s="924"/>
      <c r="I51" s="26">
        <f>E51*F51*G51</f>
        <v>11.339</v>
      </c>
      <c r="J51" s="924"/>
      <c r="K51" s="26">
        <f>1.9*1.3*F21</f>
        <v>4.1989999999999998</v>
      </c>
      <c r="L51" s="159">
        <f>(I51-K51)*D51</f>
        <v>0</v>
      </c>
      <c r="M51" s="310"/>
    </row>
    <row r="52" spans="1:13" ht="15" x14ac:dyDescent="0.2">
      <c r="A52" s="147" t="s">
        <v>353</v>
      </c>
      <c r="B52" s="148" t="str">
        <f>B22</f>
        <v>Caixa Coletora</v>
      </c>
      <c r="C52" s="4" t="s">
        <v>82</v>
      </c>
      <c r="D52" s="15">
        <f>D40</f>
        <v>0</v>
      </c>
      <c r="E52" s="15">
        <v>1.1000000000000001</v>
      </c>
      <c r="F52" s="15">
        <v>1.1000000000000001</v>
      </c>
      <c r="G52" s="15">
        <v>1.4</v>
      </c>
      <c r="H52" s="925"/>
      <c r="I52" s="26">
        <f>E52*F52*G52</f>
        <v>1.694</v>
      </c>
      <c r="J52" s="925"/>
      <c r="K52" s="160">
        <f t="shared" ref="K52" si="11">1.9*1.5*F22</f>
        <v>5.7</v>
      </c>
      <c r="L52" s="159">
        <f>(I52-K52)*D52</f>
        <v>0</v>
      </c>
    </row>
    <row r="53" spans="1:13" ht="31.5" customHeight="1" thickBot="1" x14ac:dyDescent="0.25">
      <c r="A53" s="161" t="s">
        <v>275</v>
      </c>
      <c r="B53" s="901" t="s">
        <v>55</v>
      </c>
      <c r="C53" s="902"/>
      <c r="D53" s="902"/>
      <c r="E53" s="902"/>
      <c r="F53" s="902"/>
      <c r="G53" s="902"/>
      <c r="H53" s="902"/>
      <c r="I53" s="903"/>
      <c r="J53" s="162" t="s">
        <v>5</v>
      </c>
      <c r="K53" s="904">
        <f>'Ruas Ben'!C20</f>
        <v>0</v>
      </c>
      <c r="L53" s="905"/>
    </row>
    <row r="54" spans="1:13" ht="1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3" ht="15" x14ac:dyDescent="0.2">
      <c r="A55" s="11"/>
      <c r="B55" s="305" t="str">
        <f>Terrap.!B16</f>
        <v xml:space="preserve">  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3" ht="15" x14ac:dyDescent="0.2">
      <c r="A56" s="11"/>
      <c r="B56" s="11" t="str">
        <f>Terrap.!B17</f>
        <v xml:space="preserve">   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mergeCells count="30">
    <mergeCell ref="H49:H52"/>
    <mergeCell ref="J49:J52"/>
    <mergeCell ref="G41:G42"/>
    <mergeCell ref="H41:I42"/>
    <mergeCell ref="A41:A42"/>
    <mergeCell ref="B41:B42"/>
    <mergeCell ref="A1:L1"/>
    <mergeCell ref="A2:L2"/>
    <mergeCell ref="B3:L3"/>
    <mergeCell ref="G5:I5"/>
    <mergeCell ref="J4:L6"/>
    <mergeCell ref="B4:I4"/>
    <mergeCell ref="B5:E5"/>
    <mergeCell ref="B6:E6"/>
    <mergeCell ref="B53:I53"/>
    <mergeCell ref="K53:L53"/>
    <mergeCell ref="K41:L41"/>
    <mergeCell ref="K42:L42"/>
    <mergeCell ref="A7:L7"/>
    <mergeCell ref="C41:C42"/>
    <mergeCell ref="D41:D42"/>
    <mergeCell ref="E41:F41"/>
    <mergeCell ref="J41:J42"/>
    <mergeCell ref="K9:L9"/>
    <mergeCell ref="B9:I9"/>
    <mergeCell ref="K12:L12"/>
    <mergeCell ref="B12:I12"/>
    <mergeCell ref="B23:G23"/>
    <mergeCell ref="K30:L30"/>
    <mergeCell ref="B30:I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7"/>
  <sheetViews>
    <sheetView view="pageBreakPreview" zoomScaleSheetLayoutView="100" workbookViewId="0">
      <selection activeCell="B36" sqref="B36"/>
    </sheetView>
  </sheetViews>
  <sheetFormatPr defaultRowHeight="12.75" x14ac:dyDescent="0.2"/>
  <cols>
    <col min="1" max="1" width="11.28515625" style="1" customWidth="1"/>
    <col min="2" max="2" width="49.42578125" style="1" customWidth="1"/>
    <col min="3" max="3" width="36.7109375" style="1" customWidth="1"/>
    <col min="4" max="4" width="14.28515625" style="1" customWidth="1"/>
    <col min="5" max="5" width="13.140625" style="1" bestFit="1" customWidth="1"/>
    <col min="6" max="6" width="13.5703125" style="1" customWidth="1"/>
    <col min="7" max="7" width="13.140625" style="1" customWidth="1"/>
    <col min="8" max="8" width="17.42578125" style="1" customWidth="1"/>
    <col min="9" max="9" width="14.7109375" style="1" bestFit="1" customWidth="1"/>
    <col min="10" max="10" width="11.85546875" style="1" bestFit="1" customWidth="1"/>
    <col min="11" max="11" width="15.7109375" style="1" customWidth="1"/>
    <col min="12" max="16384" width="9.140625" style="1"/>
  </cols>
  <sheetData>
    <row r="1" spans="1:11" ht="48" customHeight="1" x14ac:dyDescent="0.2">
      <c r="A1" s="1244"/>
      <c r="B1" s="1245"/>
      <c r="C1" s="1148" t="str">
        <f>Terrap.!C1</f>
        <v>ESTADO DE MATO GROSSO</v>
      </c>
      <c r="D1" s="1148"/>
      <c r="E1" s="1148"/>
      <c r="F1" s="1148"/>
      <c r="G1" s="1149"/>
    </row>
    <row r="2" spans="1:11" ht="48" customHeight="1" x14ac:dyDescent="0.2">
      <c r="A2" s="1246"/>
      <c r="B2" s="1247"/>
      <c r="C2" s="1150" t="str">
        <f>Terrap.!C2</f>
        <v>PREFEITURA MUNICIPAL DE JACIARA</v>
      </c>
      <c r="D2" s="1150"/>
      <c r="E2" s="1150"/>
      <c r="F2" s="1150"/>
      <c r="G2" s="1151"/>
    </row>
    <row r="3" spans="1:11" ht="21.75" customHeight="1" x14ac:dyDescent="0.2">
      <c r="A3" s="486" t="str">
        <f>Terrap.!A3</f>
        <v>OBRA:</v>
      </c>
      <c r="B3" s="1237" t="str">
        <f>Terrap.!B3</f>
        <v>PAVIMENTAÇÃO ASFALTICA EM TSD</v>
      </c>
      <c r="C3" s="1238"/>
      <c r="D3" s="559" t="s">
        <v>455</v>
      </c>
      <c r="E3" s="1130" t="str">
        <f>Terrap.!H6</f>
        <v>TABELA:</v>
      </c>
      <c r="F3" s="1130"/>
      <c r="G3" s="314" t="str">
        <f>Terrap.!E6</f>
        <v>BDI:</v>
      </c>
    </row>
    <row r="4" spans="1:11" ht="21.75" customHeight="1" x14ac:dyDescent="0.2">
      <c r="A4" s="486" t="str">
        <f>Terrap.!A4</f>
        <v>LOCAL:</v>
      </c>
      <c r="B4" s="1237" t="str">
        <f>Terrap.!B4</f>
        <v>DIVERSAS RUAS - DISTRITO DE CELMA</v>
      </c>
      <c r="C4" s="1238"/>
      <c r="D4" s="1143" t="str">
        <f>Terrap.!F5</f>
        <v>FEVEREIRO 2019</v>
      </c>
      <c r="E4" s="880" t="str">
        <f>Terrap.!I4</f>
        <v>SINAPI - JANEIRO / 2019                                                                             ANP 12/2018 (com desoneração)</v>
      </c>
      <c r="F4" s="880"/>
      <c r="G4" s="1141">
        <f>Terrap.!F6</f>
        <v>0.26019999999999999</v>
      </c>
    </row>
    <row r="5" spans="1:11" ht="21.75" customHeight="1" x14ac:dyDescent="0.2">
      <c r="A5" s="486" t="str">
        <f>Terrap.!A5</f>
        <v>PROPR.:</v>
      </c>
      <c r="B5" s="1237" t="str">
        <f>Terrap.!B5</f>
        <v>PREFEITURA MUNICIPAL DE JACIARA</v>
      </c>
      <c r="C5" s="1238"/>
      <c r="D5" s="1154"/>
      <c r="E5" s="880"/>
      <c r="F5" s="880"/>
      <c r="G5" s="1141"/>
    </row>
    <row r="6" spans="1:11" ht="21.75" customHeight="1" thickBot="1" x14ac:dyDescent="0.25">
      <c r="A6" s="488" t="str">
        <f>Terrap.!A6</f>
        <v>ÁREA (m²):</v>
      </c>
      <c r="B6" s="1227">
        <f>Terrap.!C14</f>
        <v>4044.58</v>
      </c>
      <c r="C6" s="1227"/>
      <c r="D6" s="1144"/>
      <c r="E6" s="882"/>
      <c r="F6" s="882"/>
      <c r="G6" s="1142"/>
    </row>
    <row r="7" spans="1:11" ht="38.25" customHeight="1" thickBot="1" x14ac:dyDescent="0.25">
      <c r="A7" s="1136" t="s">
        <v>179</v>
      </c>
      <c r="B7" s="1137"/>
      <c r="C7" s="1137"/>
      <c r="D7" s="1137"/>
      <c r="E7" s="1137"/>
      <c r="F7" s="1168"/>
      <c r="G7" s="1138"/>
    </row>
    <row r="8" spans="1:11" ht="24" customHeight="1" x14ac:dyDescent="0.2">
      <c r="A8" s="1241" t="s">
        <v>0</v>
      </c>
      <c r="B8" s="1239" t="s">
        <v>301</v>
      </c>
      <c r="C8" s="1239"/>
      <c r="D8" s="1239" t="s">
        <v>502</v>
      </c>
      <c r="E8" s="1239"/>
      <c r="F8" s="1239"/>
      <c r="G8" s="1243"/>
      <c r="H8" s="17"/>
    </row>
    <row r="9" spans="1:11" ht="15" x14ac:dyDescent="0.2">
      <c r="A9" s="1242"/>
      <c r="B9" s="1240"/>
      <c r="C9" s="1240"/>
      <c r="D9" s="752" t="s">
        <v>503</v>
      </c>
      <c r="E9" s="752" t="s">
        <v>504</v>
      </c>
      <c r="F9" s="752" t="s">
        <v>13</v>
      </c>
      <c r="G9" s="753" t="s">
        <v>505</v>
      </c>
      <c r="H9" s="17"/>
      <c r="I9" s="310">
        <f>Orçam.!M58</f>
        <v>247000</v>
      </c>
      <c r="K9" s="754" t="e">
        <f>I9/I11</f>
        <v>#REF!</v>
      </c>
    </row>
    <row r="10" spans="1:11" ht="23.25" customHeight="1" x14ac:dyDescent="0.2">
      <c r="A10" s="755">
        <f>Resumo!A10</f>
        <v>1</v>
      </c>
      <c r="B10" s="1236" t="str">
        <f>Resumo!B10</f>
        <v>SERVIÇOS PRELIMINARES</v>
      </c>
      <c r="C10" s="1236"/>
      <c r="D10" s="492" t="e">
        <f>(F10-E10)</f>
        <v>#REF!</v>
      </c>
      <c r="E10" s="492" t="e">
        <f>$K$10*F10</f>
        <v>#REF!</v>
      </c>
      <c r="F10" s="517">
        <f>Resumo!E10</f>
        <v>7372.39</v>
      </c>
      <c r="G10" s="756"/>
      <c r="H10" s="17"/>
      <c r="I10" s="310" t="e">
        <f>F28-I9</f>
        <v>#REF!</v>
      </c>
      <c r="K10" s="754" t="e">
        <f>I10/I11</f>
        <v>#REF!</v>
      </c>
    </row>
    <row r="11" spans="1:11" ht="23.25" customHeight="1" x14ac:dyDescent="0.2">
      <c r="A11" s="458"/>
      <c r="B11" s="1236"/>
      <c r="C11" s="1236"/>
      <c r="D11" s="492"/>
      <c r="E11" s="492"/>
      <c r="F11" s="517"/>
      <c r="G11" s="757"/>
      <c r="H11" s="17"/>
      <c r="I11" s="416" t="e">
        <f>I9+I10</f>
        <v>#REF!</v>
      </c>
      <c r="K11" s="758" t="s">
        <v>181</v>
      </c>
    </row>
    <row r="12" spans="1:11" ht="23.25" customHeight="1" x14ac:dyDescent="0.2">
      <c r="A12" s="755">
        <f>Resumo!A12</f>
        <v>2</v>
      </c>
      <c r="B12" s="1236" t="str">
        <f>Resumo!B12</f>
        <v>ADMINISTRAÇÃO LOCAL</v>
      </c>
      <c r="C12" s="1236"/>
      <c r="D12" s="492" t="e">
        <f>(F12-E12)</f>
        <v>#REF!</v>
      </c>
      <c r="E12" s="492" t="e">
        <f>$K$10*F12</f>
        <v>#REF!</v>
      </c>
      <c r="F12" s="517">
        <f>Resumo!E12</f>
        <v>17437.990000000002</v>
      </c>
      <c r="G12" s="757"/>
      <c r="H12" s="17"/>
      <c r="I12" s="416"/>
      <c r="K12" s="758"/>
    </row>
    <row r="13" spans="1:11" ht="23.25" customHeight="1" x14ac:dyDescent="0.2">
      <c r="A13" s="458"/>
      <c r="B13" s="1236"/>
      <c r="C13" s="1236"/>
      <c r="D13" s="492"/>
      <c r="E13" s="492"/>
      <c r="F13" s="517"/>
      <c r="G13" s="757"/>
      <c r="H13" s="17"/>
      <c r="I13" s="416"/>
      <c r="K13" s="758"/>
    </row>
    <row r="14" spans="1:11" ht="23.25" hidden="1" customHeight="1" x14ac:dyDescent="0.2">
      <c r="A14" s="755" t="e">
        <f>Resumo!#REF!</f>
        <v>#REF!</v>
      </c>
      <c r="B14" s="1236" t="e">
        <f>Resumo!#REF!</f>
        <v>#REF!</v>
      </c>
      <c r="C14" s="1236"/>
      <c r="D14" s="492"/>
      <c r="E14" s="492"/>
      <c r="F14" s="517"/>
      <c r="G14" s="757"/>
      <c r="H14" s="17"/>
      <c r="I14" s="416"/>
      <c r="K14" s="758"/>
    </row>
    <row r="15" spans="1:11" ht="23.25" hidden="1" customHeight="1" x14ac:dyDescent="0.2">
      <c r="A15" s="458" t="e">
        <f>Resumo!#REF!</f>
        <v>#REF!</v>
      </c>
      <c r="B15" s="1156" t="e">
        <f>Resumo!#REF!</f>
        <v>#REF!</v>
      </c>
      <c r="C15" s="1156"/>
      <c r="D15" s="492" t="e">
        <f>F15-E15</f>
        <v>#REF!</v>
      </c>
      <c r="E15" s="492" t="e">
        <f>$K$10*F15</f>
        <v>#REF!</v>
      </c>
      <c r="F15" s="517" t="e">
        <f>Resumo!#REF!</f>
        <v>#REF!</v>
      </c>
      <c r="G15" s="757"/>
      <c r="H15" s="17"/>
      <c r="I15" s="416"/>
      <c r="K15" s="758"/>
    </row>
    <row r="16" spans="1:11" ht="23.25" hidden="1" customHeight="1" x14ac:dyDescent="0.2">
      <c r="A16" s="458" t="e">
        <f>Resumo!#REF!</f>
        <v>#REF!</v>
      </c>
      <c r="B16" s="1156" t="e">
        <f>Resumo!#REF!</f>
        <v>#REF!</v>
      </c>
      <c r="C16" s="1156"/>
      <c r="D16" s="492" t="e">
        <f>F16-E16</f>
        <v>#REF!</v>
      </c>
      <c r="E16" s="492" t="e">
        <f>$K$10*F16</f>
        <v>#REF!</v>
      </c>
      <c r="F16" s="517" t="e">
        <f>Resumo!#REF!</f>
        <v>#REF!</v>
      </c>
      <c r="G16" s="757"/>
      <c r="H16" s="17"/>
      <c r="I16" s="416"/>
      <c r="K16" s="758"/>
    </row>
    <row r="17" spans="1:11" ht="23.25" hidden="1" customHeight="1" x14ac:dyDescent="0.2">
      <c r="A17" s="458" t="e">
        <f>Resumo!#REF!</f>
        <v>#REF!</v>
      </c>
      <c r="B17" s="1156" t="e">
        <f>Resumo!#REF!</f>
        <v>#REF!</v>
      </c>
      <c r="C17" s="1156"/>
      <c r="D17" s="492" t="e">
        <f>F17-E17</f>
        <v>#REF!</v>
      </c>
      <c r="E17" s="492" t="e">
        <f>$K$10*F17</f>
        <v>#REF!</v>
      </c>
      <c r="F17" s="517" t="e">
        <f>Resumo!#REF!</f>
        <v>#REF!</v>
      </c>
      <c r="G17" s="757"/>
      <c r="H17" s="17"/>
      <c r="I17" s="416"/>
      <c r="K17" s="758"/>
    </row>
    <row r="18" spans="1:11" ht="23.25" hidden="1" customHeight="1" x14ac:dyDescent="0.2">
      <c r="A18" s="458" t="e">
        <f>Resumo!#REF!</f>
        <v>#REF!</v>
      </c>
      <c r="B18" s="1156" t="e">
        <f>Resumo!#REF!</f>
        <v>#REF!</v>
      </c>
      <c r="C18" s="1156"/>
      <c r="D18" s="492" t="e">
        <f>F18-E18</f>
        <v>#REF!</v>
      </c>
      <c r="E18" s="492" t="e">
        <f>$K$10*F18</f>
        <v>#REF!</v>
      </c>
      <c r="F18" s="517" t="e">
        <f>Resumo!#REF!</f>
        <v>#REF!</v>
      </c>
      <c r="G18" s="757"/>
      <c r="H18" s="17"/>
      <c r="I18" s="416"/>
      <c r="K18" s="758"/>
    </row>
    <row r="19" spans="1:11" ht="23.25" hidden="1" customHeight="1" x14ac:dyDescent="0.2">
      <c r="A19" s="458" t="e">
        <f>Resumo!#REF!</f>
        <v>#REF!</v>
      </c>
      <c r="B19" s="1156" t="e">
        <f>Resumo!#REF!</f>
        <v>#REF!</v>
      </c>
      <c r="C19" s="1156"/>
      <c r="D19" s="492" t="e">
        <f>F19-E19</f>
        <v>#REF!</v>
      </c>
      <c r="E19" s="492" t="e">
        <f>$K$10*F19</f>
        <v>#REF!</v>
      </c>
      <c r="F19" s="517" t="e">
        <f>Resumo!#REF!</f>
        <v>#REF!</v>
      </c>
      <c r="G19" s="757"/>
      <c r="H19" s="17"/>
      <c r="I19" s="416"/>
      <c r="K19" s="758"/>
    </row>
    <row r="20" spans="1:11" ht="23.25" hidden="1" customHeight="1" x14ac:dyDescent="0.2">
      <c r="A20" s="458"/>
      <c r="B20" s="1236"/>
      <c r="C20" s="1236"/>
      <c r="D20" s="492"/>
      <c r="E20" s="492"/>
      <c r="F20" s="517"/>
      <c r="G20" s="757"/>
      <c r="H20" s="17"/>
      <c r="I20" s="416"/>
      <c r="K20" s="758"/>
    </row>
    <row r="21" spans="1:11" ht="23.25" customHeight="1" x14ac:dyDescent="0.2">
      <c r="A21" s="755">
        <f>Resumo!A14</f>
        <v>3</v>
      </c>
      <c r="B21" s="1236" t="str">
        <f>Resumo!B14</f>
        <v>PAVIMENTAÇÃO EM TSD</v>
      </c>
      <c r="C21" s="1236"/>
      <c r="D21" s="492"/>
      <c r="E21" s="492"/>
      <c r="F21" s="517"/>
      <c r="G21" s="757"/>
      <c r="H21" s="17"/>
      <c r="I21" s="416"/>
      <c r="K21" s="758"/>
    </row>
    <row r="22" spans="1:11" ht="23.25" customHeight="1" x14ac:dyDescent="0.2">
      <c r="A22" s="458" t="str">
        <f>Resumo!A15</f>
        <v>3.1</v>
      </c>
      <c r="B22" s="1156" t="str">
        <f>Resumo!B15</f>
        <v>TERRAPLENAGEM</v>
      </c>
      <c r="C22" s="1156"/>
      <c r="D22" s="492" t="e">
        <f>F22-E22</f>
        <v>#REF!</v>
      </c>
      <c r="E22" s="492" t="e">
        <f>$K$10*F22</f>
        <v>#REF!</v>
      </c>
      <c r="F22" s="517">
        <f>Resumo!E15</f>
        <v>5623.57</v>
      </c>
      <c r="G22" s="757"/>
      <c r="H22" s="17"/>
      <c r="I22" s="416"/>
      <c r="K22" s="758"/>
    </row>
    <row r="23" spans="1:11" ht="23.25" customHeight="1" x14ac:dyDescent="0.2">
      <c r="A23" s="458" t="str">
        <f>Resumo!A16</f>
        <v>3.2</v>
      </c>
      <c r="B23" s="1156" t="str">
        <f>Resumo!B16</f>
        <v>PAVIMENTAÇÃO</v>
      </c>
      <c r="C23" s="1156"/>
      <c r="D23" s="492" t="e">
        <f>F23-E23</f>
        <v>#REF!</v>
      </c>
      <c r="E23" s="492" t="e">
        <f>$K$10*F23</f>
        <v>#REF!</v>
      </c>
      <c r="F23" s="517">
        <f>Resumo!E16</f>
        <v>238933.16</v>
      </c>
      <c r="G23" s="757"/>
      <c r="H23" s="17"/>
      <c r="I23" s="416"/>
      <c r="K23" s="758"/>
    </row>
    <row r="24" spans="1:11" ht="23.25" customHeight="1" x14ac:dyDescent="0.2">
      <c r="A24" s="458" t="str">
        <f>Resumo!A17</f>
        <v>3.3</v>
      </c>
      <c r="B24" s="1156" t="str">
        <f>Resumo!B17</f>
        <v>OBRAS COMPLEMENTARES</v>
      </c>
      <c r="C24" s="1156"/>
      <c r="D24" s="492" t="e">
        <f>F24-E24</f>
        <v>#REF!</v>
      </c>
      <c r="E24" s="492" t="e">
        <f>$K$10*F24</f>
        <v>#REF!</v>
      </c>
      <c r="F24" s="517">
        <f>Resumo!E17</f>
        <v>98999.79</v>
      </c>
      <c r="G24" s="757"/>
      <c r="H24" s="17"/>
    </row>
    <row r="25" spans="1:11" ht="23.25" customHeight="1" x14ac:dyDescent="0.2">
      <c r="A25" s="458" t="str">
        <f>Resumo!A18</f>
        <v>3.4</v>
      </c>
      <c r="B25" s="1156" t="str">
        <f>Resumo!B18</f>
        <v>SINALIZAÇÃO VIÁRIA</v>
      </c>
      <c r="C25" s="1156"/>
      <c r="D25" s="492" t="e">
        <f>F25-E25</f>
        <v>#REF!</v>
      </c>
      <c r="E25" s="492" t="e">
        <f>$K$10*F25+0.01</f>
        <v>#REF!</v>
      </c>
      <c r="F25" s="517">
        <f>Resumo!E18</f>
        <v>47628.47</v>
      </c>
      <c r="G25" s="757"/>
      <c r="H25" s="17"/>
      <c r="I25" s="310"/>
    </row>
    <row r="26" spans="1:11" ht="23.25" customHeight="1" x14ac:dyDescent="0.2">
      <c r="A26" s="755"/>
      <c r="B26" s="1236"/>
      <c r="C26" s="1236"/>
      <c r="D26" s="492"/>
      <c r="E26" s="492"/>
      <c r="F26" s="517"/>
      <c r="G26" s="757"/>
      <c r="H26" s="17"/>
      <c r="I26" s="310"/>
    </row>
    <row r="27" spans="1:11" ht="23.25" customHeight="1" x14ac:dyDescent="0.2">
      <c r="A27" s="458"/>
      <c r="B27" s="1236"/>
      <c r="C27" s="1236"/>
      <c r="D27" s="492"/>
      <c r="E27" s="492"/>
      <c r="F27" s="492"/>
      <c r="G27" s="757"/>
      <c r="H27" s="17"/>
      <c r="I27" s="310"/>
    </row>
    <row r="28" spans="1:11" ht="23.25" customHeight="1" x14ac:dyDescent="0.2">
      <c r="A28" s="1230" t="s">
        <v>13</v>
      </c>
      <c r="B28" s="1231"/>
      <c r="C28" s="1232"/>
      <c r="D28" s="759" t="e">
        <f>SUM(D10:D27)</f>
        <v>#REF!</v>
      </c>
      <c r="E28" s="759" t="e">
        <f>SUM(E10:E27)</f>
        <v>#REF!</v>
      </c>
      <c r="F28" s="760" t="e">
        <f>SUM(F10:F27)</f>
        <v>#REF!</v>
      </c>
      <c r="G28" s="761">
        <f>SUM(G10:G27)</f>
        <v>0</v>
      </c>
      <c r="H28" s="17"/>
      <c r="I28" s="310"/>
      <c r="J28" s="310"/>
    </row>
    <row r="29" spans="1:11" ht="23.25" customHeight="1" thickBot="1" x14ac:dyDescent="0.25">
      <c r="A29" s="1233"/>
      <c r="B29" s="1234"/>
      <c r="C29" s="1235"/>
      <c r="D29" s="493"/>
      <c r="E29" s="493"/>
      <c r="F29" s="493"/>
      <c r="G29" s="762"/>
      <c r="H29" s="17"/>
    </row>
    <row r="30" spans="1:11" ht="15" x14ac:dyDescent="0.2">
      <c r="A30" s="17"/>
      <c r="B30" s="11"/>
      <c r="C30" s="11"/>
      <c r="D30" s="11"/>
      <c r="E30" s="763"/>
      <c r="F30" s="763"/>
      <c r="G30" s="764"/>
      <c r="H30" s="17"/>
      <c r="I30" s="37" t="s">
        <v>182</v>
      </c>
      <c r="J30" s="765">
        <v>500</v>
      </c>
    </row>
    <row r="31" spans="1:11" ht="15" x14ac:dyDescent="0.2">
      <c r="A31" s="17"/>
      <c r="B31" s="11"/>
      <c r="C31" s="11"/>
      <c r="D31" s="11"/>
      <c r="E31" s="17"/>
      <c r="F31" s="17"/>
      <c r="G31" s="17"/>
      <c r="H31" s="17"/>
    </row>
    <row r="32" spans="1:11" ht="15.75" x14ac:dyDescent="0.2">
      <c r="B32" s="766"/>
      <c r="C32" s="766"/>
    </row>
    <row r="33" spans="2:5" x14ac:dyDescent="0.2">
      <c r="B33" s="387"/>
      <c r="C33" s="387"/>
      <c r="E33" s="425"/>
    </row>
    <row r="34" spans="2:5" ht="15" x14ac:dyDescent="0.2">
      <c r="C34" s="767"/>
    </row>
    <row r="35" spans="2:5" x14ac:dyDescent="0.2">
      <c r="C35" s="768"/>
    </row>
    <row r="36" spans="2:5" ht="15" x14ac:dyDescent="0.2">
      <c r="B36" s="767" t="str">
        <f>Terrap.!B16</f>
        <v xml:space="preserve">  </v>
      </c>
    </row>
    <row r="37" spans="2:5" x14ac:dyDescent="0.2">
      <c r="B37" s="768" t="str">
        <f>Terrap.!B17</f>
        <v xml:space="preserve">   </v>
      </c>
    </row>
  </sheetData>
  <mergeCells count="35">
    <mergeCell ref="A1:B2"/>
    <mergeCell ref="C1:G1"/>
    <mergeCell ref="C2:G2"/>
    <mergeCell ref="E3:F3"/>
    <mergeCell ref="D4:D6"/>
    <mergeCell ref="E4:F6"/>
    <mergeCell ref="G4:G6"/>
    <mergeCell ref="B6:C6"/>
    <mergeCell ref="B21:C21"/>
    <mergeCell ref="B22:C22"/>
    <mergeCell ref="B23:C23"/>
    <mergeCell ref="B24:C24"/>
    <mergeCell ref="A7:G7"/>
    <mergeCell ref="B8:C9"/>
    <mergeCell ref="B10:C10"/>
    <mergeCell ref="B12:C12"/>
    <mergeCell ref="B13:C13"/>
    <mergeCell ref="A8:A9"/>
    <mergeCell ref="D8:G8"/>
    <mergeCell ref="B14:C14"/>
    <mergeCell ref="B15:C15"/>
    <mergeCell ref="B16:C16"/>
    <mergeCell ref="B17:C17"/>
    <mergeCell ref="B18:C18"/>
    <mergeCell ref="B11:C11"/>
    <mergeCell ref="B3:C3"/>
    <mergeCell ref="B4:C4"/>
    <mergeCell ref="B5:C5"/>
    <mergeCell ref="B20:C20"/>
    <mergeCell ref="B19:C19"/>
    <mergeCell ref="A28:C28"/>
    <mergeCell ref="A29:C29"/>
    <mergeCell ref="B25:C25"/>
    <mergeCell ref="B26:C26"/>
    <mergeCell ref="B27:C27"/>
  </mergeCells>
  <pageMargins left="0.31496062992125984" right="0.31496062992125984" top="0.59055118110236227" bottom="0.59055118110236227" header="0.31496062992125984" footer="0.31496062992125984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topLeftCell="A7" zoomScale="115" zoomScaleSheetLayoutView="115" workbookViewId="0">
      <selection activeCell="L2" sqref="L2"/>
    </sheetView>
  </sheetViews>
  <sheetFormatPr defaultRowHeight="12.75" x14ac:dyDescent="0.2"/>
  <cols>
    <col min="1" max="1" width="12.28515625" style="387" customWidth="1"/>
    <col min="2" max="2" width="10.28515625" style="387" customWidth="1"/>
    <col min="3" max="3" width="41.140625" style="387" customWidth="1"/>
    <col min="4" max="4" width="11.5703125" style="387" customWidth="1"/>
    <col min="5" max="5" width="11.28515625" style="387" customWidth="1"/>
    <col min="6" max="6" width="12.85546875" style="387" customWidth="1"/>
    <col min="7" max="7" width="11.7109375" style="387" customWidth="1"/>
    <col min="8" max="8" width="11.140625" style="387" bestFit="1" customWidth="1"/>
    <col min="9" max="9" width="11.140625" style="387" customWidth="1"/>
    <col min="10" max="10" width="11.28515625" style="387" customWidth="1"/>
    <col min="11" max="16384" width="9.140625" style="387"/>
  </cols>
  <sheetData>
    <row r="1" spans="1:13" ht="48.75" customHeight="1" x14ac:dyDescent="0.2">
      <c r="A1" s="1255"/>
      <c r="B1" s="1256"/>
      <c r="C1" s="1256"/>
      <c r="D1" s="871" t="str">
        <f>Terrap.!C1</f>
        <v>ESTADO DE MATO GROSSO</v>
      </c>
      <c r="E1" s="871"/>
      <c r="F1" s="871"/>
      <c r="G1" s="871"/>
      <c r="H1" s="871"/>
      <c r="I1" s="871"/>
      <c r="J1" s="872"/>
    </row>
    <row r="2" spans="1:13" ht="48.75" customHeight="1" x14ac:dyDescent="0.2">
      <c r="A2" s="1257"/>
      <c r="B2" s="1258"/>
      <c r="C2" s="1258"/>
      <c r="D2" s="874" t="str">
        <f>Terrap.!C2</f>
        <v>PREFEITURA MUNICIPAL DE JACIARA</v>
      </c>
      <c r="E2" s="874"/>
      <c r="F2" s="874"/>
      <c r="G2" s="874"/>
      <c r="H2" s="874"/>
      <c r="I2" s="874"/>
      <c r="J2" s="875"/>
    </row>
    <row r="3" spans="1:13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7"/>
    </row>
    <row r="4" spans="1:13" ht="15.75" customHeight="1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80" t="str">
        <f>Terrap.!I4</f>
        <v>SINAPI - JANEIRO / 2019                                                                             ANP 12/2018 (com desoneração)</v>
      </c>
      <c r="H4" s="880"/>
      <c r="I4" s="880"/>
      <c r="J4" s="881"/>
    </row>
    <row r="5" spans="1:13" ht="15" x14ac:dyDescent="0.2">
      <c r="A5" s="459" t="s">
        <v>59</v>
      </c>
      <c r="B5" s="471" t="str">
        <f>Terrap.!B5</f>
        <v>PREFEITURA MUNICIPAL DE JACIARA</v>
      </c>
      <c r="C5" s="471"/>
      <c r="D5" s="464" t="s">
        <v>455</v>
      </c>
      <c r="E5" s="878" t="str">
        <f>Terrap.!F5</f>
        <v>FEVEREIRO 2019</v>
      </c>
      <c r="F5" s="878"/>
      <c r="G5" s="880"/>
      <c r="H5" s="880"/>
      <c r="I5" s="880"/>
      <c r="J5" s="881"/>
    </row>
    <row r="6" spans="1:13" ht="15.75" thickBot="1" x14ac:dyDescent="0.25">
      <c r="A6" s="465" t="s">
        <v>60</v>
      </c>
      <c r="B6" s="879">
        <f>Pavim.!B6</f>
        <v>3632.82</v>
      </c>
      <c r="C6" s="879"/>
      <c r="D6" s="466" t="s">
        <v>61</v>
      </c>
      <c r="E6" s="467">
        <f>Terrap.!F6</f>
        <v>0.26019999999999999</v>
      </c>
      <c r="F6" s="466" t="s">
        <v>62</v>
      </c>
      <c r="G6" s="882"/>
      <c r="H6" s="882"/>
      <c r="I6" s="882"/>
      <c r="J6" s="883"/>
    </row>
    <row r="7" spans="1:13" ht="23.25" customHeight="1" thickBot="1" x14ac:dyDescent="0.25">
      <c r="A7" s="1251" t="s">
        <v>458</v>
      </c>
      <c r="B7" s="1252"/>
      <c r="C7" s="1252"/>
      <c r="D7" s="1252"/>
      <c r="E7" s="1252"/>
      <c r="F7" s="1252"/>
      <c r="G7" s="1252"/>
      <c r="H7" s="1252"/>
      <c r="I7" s="1253"/>
      <c r="J7" s="1254"/>
    </row>
    <row r="8" spans="1:13" ht="13.5" thickBot="1" x14ac:dyDescent="0.25">
      <c r="M8" s="782">
        <f>Orçam.!$M$61</f>
        <v>-168995.37</v>
      </c>
    </row>
    <row r="9" spans="1:13" x14ac:dyDescent="0.2">
      <c r="A9" s="857"/>
      <c r="B9" s="1248" t="s">
        <v>600</v>
      </c>
      <c r="C9" s="1248"/>
      <c r="D9" s="1248"/>
      <c r="E9" s="1248"/>
      <c r="F9" s="1248"/>
      <c r="G9" s="1248"/>
      <c r="H9" s="1249"/>
    </row>
    <row r="10" spans="1:13" ht="25.5" x14ac:dyDescent="0.2">
      <c r="A10" s="858" t="s">
        <v>0</v>
      </c>
      <c r="B10" s="851" t="s">
        <v>601</v>
      </c>
      <c r="C10" s="851" t="s">
        <v>602</v>
      </c>
      <c r="D10" s="851" t="s">
        <v>213</v>
      </c>
      <c r="E10" s="851" t="s">
        <v>603</v>
      </c>
      <c r="F10" s="851" t="s">
        <v>71</v>
      </c>
      <c r="G10" s="851" t="s">
        <v>215</v>
      </c>
      <c r="H10" s="859" t="s">
        <v>216</v>
      </c>
    </row>
    <row r="11" spans="1:13" ht="25.5" x14ac:dyDescent="0.2">
      <c r="A11" s="858" t="s">
        <v>78</v>
      </c>
      <c r="B11" s="852">
        <v>90778</v>
      </c>
      <c r="C11" s="853" t="s">
        <v>452</v>
      </c>
      <c r="D11" s="852" t="s">
        <v>224</v>
      </c>
      <c r="E11" s="852" t="s">
        <v>607</v>
      </c>
      <c r="F11" s="852">
        <f>15*6</f>
        <v>90</v>
      </c>
      <c r="G11" s="852">
        <v>88.09</v>
      </c>
      <c r="H11" s="860">
        <f>TRUNC((F11*G11),3)</f>
        <v>7928.1</v>
      </c>
    </row>
    <row r="12" spans="1:13" ht="25.5" x14ac:dyDescent="0.2">
      <c r="A12" s="858" t="s">
        <v>83</v>
      </c>
      <c r="B12" s="852">
        <v>90780</v>
      </c>
      <c r="C12" s="853" t="s">
        <v>427</v>
      </c>
      <c r="D12" s="852" t="s">
        <v>224</v>
      </c>
      <c r="E12" s="852" t="s">
        <v>606</v>
      </c>
      <c r="F12" s="854">
        <f>20*6</f>
        <v>120</v>
      </c>
      <c r="G12" s="852">
        <v>28.28</v>
      </c>
      <c r="H12" s="860">
        <f>TRUNC((F12*G12),3)</f>
        <v>3393.6</v>
      </c>
      <c r="K12" s="865">
        <f>Orçam.!K14</f>
        <v>4.19E-2</v>
      </c>
    </row>
    <row r="13" spans="1:13" ht="38.25" x14ac:dyDescent="0.2">
      <c r="A13" s="858" t="s">
        <v>89</v>
      </c>
      <c r="B13" s="852">
        <v>90772</v>
      </c>
      <c r="C13" s="853" t="s">
        <v>453</v>
      </c>
      <c r="D13" s="852" t="s">
        <v>224</v>
      </c>
      <c r="E13" s="852" t="s">
        <v>607</v>
      </c>
      <c r="F13" s="852">
        <f>15*6</f>
        <v>90</v>
      </c>
      <c r="G13" s="852">
        <v>15.37</v>
      </c>
      <c r="H13" s="860">
        <f>TRUNC((F13*G13),3)</f>
        <v>1383.3</v>
      </c>
    </row>
    <row r="14" spans="1:13" ht="38.25" x14ac:dyDescent="0.2">
      <c r="A14" s="858" t="s">
        <v>90</v>
      </c>
      <c r="B14" s="607">
        <v>78472</v>
      </c>
      <c r="C14" s="853" t="s">
        <v>298</v>
      </c>
      <c r="D14" s="852" t="s">
        <v>6</v>
      </c>
      <c r="F14" s="864">
        <f>'Mem. Calc.'!E52</f>
        <v>4044.58</v>
      </c>
      <c r="G14" s="856">
        <v>0.28000000000000003</v>
      </c>
      <c r="H14" s="860">
        <f>TRUNC((F14*G14),3)</f>
        <v>1132.48</v>
      </c>
    </row>
    <row r="15" spans="1:13" x14ac:dyDescent="0.2">
      <c r="A15" s="858"/>
      <c r="B15" s="852"/>
      <c r="C15" s="853"/>
      <c r="D15" s="852"/>
      <c r="E15" s="852"/>
      <c r="F15" s="855"/>
      <c r="G15" s="856"/>
      <c r="H15" s="860"/>
    </row>
    <row r="16" spans="1:13" x14ac:dyDescent="0.2">
      <c r="A16" s="858"/>
      <c r="B16" s="852"/>
      <c r="C16" s="853"/>
      <c r="D16" s="852"/>
      <c r="E16" s="852"/>
      <c r="F16" s="855"/>
      <c r="G16" s="856"/>
      <c r="H16" s="860"/>
    </row>
    <row r="17" spans="1:8" ht="13.5" thickBot="1" x14ac:dyDescent="0.25">
      <c r="A17" s="861"/>
      <c r="B17" s="862"/>
      <c r="C17" s="1250" t="s">
        <v>604</v>
      </c>
      <c r="D17" s="1250"/>
      <c r="E17" s="1250"/>
      <c r="F17" s="1250"/>
      <c r="G17" s="1250"/>
      <c r="H17" s="863">
        <f>SUM(H11:H16)</f>
        <v>13837.48</v>
      </c>
    </row>
  </sheetData>
  <mergeCells count="11">
    <mergeCell ref="B9:H9"/>
    <mergeCell ref="C17:G17"/>
    <mergeCell ref="A7:J7"/>
    <mergeCell ref="D1:J1"/>
    <mergeCell ref="D2:J2"/>
    <mergeCell ref="A1:C2"/>
    <mergeCell ref="G4:J6"/>
    <mergeCell ref="B6:C6"/>
    <mergeCell ref="B3:J3"/>
    <mergeCell ref="E5:F5"/>
    <mergeCell ref="B4:F4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9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view="pageBreakPreview" topLeftCell="A100" zoomScale="110" zoomScaleNormal="100" zoomScaleSheetLayoutView="110" workbookViewId="0">
      <selection activeCell="I110" sqref="I110"/>
    </sheetView>
  </sheetViews>
  <sheetFormatPr defaultRowHeight="12.75" x14ac:dyDescent="0.2"/>
  <cols>
    <col min="1" max="1" width="17.140625" style="355" customWidth="1"/>
    <col min="2" max="2" width="49.140625" style="330" customWidth="1"/>
    <col min="3" max="3" width="12.85546875" style="330" customWidth="1"/>
    <col min="4" max="4" width="16" style="330" bestFit="1" customWidth="1"/>
    <col min="5" max="5" width="12.28515625" style="330" customWidth="1"/>
    <col min="6" max="6" width="12.7109375" style="330" customWidth="1"/>
    <col min="7" max="8" width="9.140625" style="330"/>
    <col min="9" max="9" width="10.140625" style="330" bestFit="1" customWidth="1"/>
    <col min="10" max="16384" width="9.140625" style="330"/>
  </cols>
  <sheetData>
    <row r="1" spans="1:6" ht="48" customHeight="1" x14ac:dyDescent="0.2">
      <c r="A1" s="944"/>
      <c r="B1" s="945"/>
      <c r="C1" s="871" t="str">
        <f>Terrap.!C1</f>
        <v>ESTADO DE MATO GROSSO</v>
      </c>
      <c r="D1" s="871"/>
      <c r="E1" s="871"/>
      <c r="F1" s="872"/>
    </row>
    <row r="2" spans="1:6" ht="48" customHeight="1" x14ac:dyDescent="0.2">
      <c r="A2" s="946"/>
      <c r="B2" s="947"/>
      <c r="C2" s="874" t="str">
        <f>Terrap.!C2</f>
        <v>PREFEITURA MUNICIPAL DE JACIARA</v>
      </c>
      <c r="D2" s="874"/>
      <c r="E2" s="874"/>
      <c r="F2" s="875"/>
    </row>
    <row r="3" spans="1:6" ht="15.75" x14ac:dyDescent="0.2">
      <c r="A3" s="769" t="s">
        <v>57</v>
      </c>
      <c r="B3" s="1262" t="str">
        <f>Terrap.!B3</f>
        <v>PAVIMENTAÇÃO ASFALTICA EM TSD</v>
      </c>
      <c r="C3" s="1262"/>
      <c r="D3" s="1262"/>
      <c r="E3" s="1262"/>
      <c r="F3" s="1263"/>
    </row>
    <row r="4" spans="1:6" ht="15.75" x14ac:dyDescent="0.2">
      <c r="A4" s="769" t="s">
        <v>58</v>
      </c>
      <c r="B4" s="771" t="str">
        <f>Terrap.!B4</f>
        <v>DIVERSAS RUAS - DISTRITO DE CELMA</v>
      </c>
      <c r="C4" s="771"/>
      <c r="D4" s="1264" t="s">
        <v>61</v>
      </c>
      <c r="E4" s="1264"/>
      <c r="F4" s="772">
        <f>Terrap.!F6</f>
        <v>0.26019999999999999</v>
      </c>
    </row>
    <row r="5" spans="1:6" ht="15.75" customHeight="1" x14ac:dyDescent="0.2">
      <c r="A5" s="769" t="s">
        <v>59</v>
      </c>
      <c r="B5" s="771" t="str">
        <f>Terrap.!B5</f>
        <v>PREFEITURA MUNICIPAL DE JACIARA</v>
      </c>
      <c r="C5" s="771"/>
      <c r="D5" s="1010" t="str">
        <f>Terrap.!I4</f>
        <v>SINAPI - JANEIRO / 2019                                                                             ANP 12/2018 (com desoneração)</v>
      </c>
      <c r="E5" s="1010"/>
      <c r="F5" s="1012"/>
    </row>
    <row r="6" spans="1:6" ht="24" customHeight="1" thickBot="1" x14ac:dyDescent="0.25">
      <c r="A6" s="770" t="s">
        <v>60</v>
      </c>
      <c r="B6" s="773">
        <f>Terrap.!B6</f>
        <v>4044.58</v>
      </c>
      <c r="C6" s="482" t="s">
        <v>62</v>
      </c>
      <c r="D6" s="1013"/>
      <c r="E6" s="1013"/>
      <c r="F6" s="1015"/>
    </row>
    <row r="7" spans="1:6" ht="24.75" customHeight="1" thickBot="1" x14ac:dyDescent="0.25">
      <c r="A7" s="1259" t="s">
        <v>394</v>
      </c>
      <c r="B7" s="1260"/>
      <c r="C7" s="1260"/>
      <c r="D7" s="1260"/>
      <c r="E7" s="1260"/>
      <c r="F7" s="1261"/>
    </row>
    <row r="8" spans="1:6" ht="7.5" customHeight="1" thickBot="1" x14ac:dyDescent="0.25">
      <c r="A8" s="428"/>
      <c r="B8" s="366"/>
      <c r="C8" s="366"/>
      <c r="D8" s="366"/>
      <c r="E8" s="366"/>
      <c r="F8" s="429"/>
    </row>
    <row r="9" spans="1:6" ht="13.5" thickBot="1" x14ac:dyDescent="0.25">
      <c r="A9" s="1268" t="str">
        <f>Orçam.!D31</f>
        <v>TRATAMENTO SUPERFICIAL DUPLO - TSD, COM EMULSAO RR-2C</v>
      </c>
      <c r="B9" s="1269"/>
      <c r="C9" s="1269"/>
      <c r="D9" s="1269"/>
      <c r="E9" s="1269"/>
      <c r="F9" s="1270"/>
    </row>
    <row r="10" spans="1:6" x14ac:dyDescent="0.2">
      <c r="A10" s="1268" t="s">
        <v>395</v>
      </c>
      <c r="B10" s="1269"/>
      <c r="C10" s="1269"/>
      <c r="D10" s="1269"/>
      <c r="E10" s="1269"/>
      <c r="F10" s="1270"/>
    </row>
    <row r="11" spans="1:6" x14ac:dyDescent="0.2">
      <c r="A11" s="281" t="s">
        <v>217</v>
      </c>
      <c r="B11" s="250" t="s">
        <v>212</v>
      </c>
      <c r="C11" s="51" t="s">
        <v>213</v>
      </c>
      <c r="D11" s="51" t="s">
        <v>214</v>
      </c>
      <c r="E11" s="51" t="s">
        <v>215</v>
      </c>
      <c r="F11" s="376" t="s">
        <v>216</v>
      </c>
    </row>
    <row r="12" spans="1:6" ht="51" x14ac:dyDescent="0.2">
      <c r="A12" s="284">
        <v>6879</v>
      </c>
      <c r="B12" s="367" t="s">
        <v>478</v>
      </c>
      <c r="C12" s="54" t="s">
        <v>219</v>
      </c>
      <c r="D12" s="251">
        <v>4.62E-3</v>
      </c>
      <c r="E12" s="252">
        <v>127.17</v>
      </c>
      <c r="F12" s="264">
        <f t="shared" ref="F12:F17" si="0">ROUND((D12*E12),2)</f>
        <v>0.59</v>
      </c>
    </row>
    <row r="13" spans="1:6" ht="51" x14ac:dyDescent="0.2">
      <c r="A13" s="284">
        <v>6880</v>
      </c>
      <c r="B13" s="367" t="s">
        <v>479</v>
      </c>
      <c r="C13" s="54" t="s">
        <v>221</v>
      </c>
      <c r="D13" s="251">
        <v>3.0799999999999998E-3</v>
      </c>
      <c r="E13" s="252">
        <v>41.97</v>
      </c>
      <c r="F13" s="264">
        <f t="shared" si="0"/>
        <v>0.13</v>
      </c>
    </row>
    <row r="14" spans="1:6" ht="63.75" x14ac:dyDescent="0.2">
      <c r="A14" s="284">
        <v>67826</v>
      </c>
      <c r="B14" s="367" t="s">
        <v>424</v>
      </c>
      <c r="C14" s="54" t="s">
        <v>219</v>
      </c>
      <c r="D14" s="251">
        <v>7.6899999999999998E-3</v>
      </c>
      <c r="E14" s="252">
        <v>142.74</v>
      </c>
      <c r="F14" s="264">
        <f t="shared" si="0"/>
        <v>1.1000000000000001</v>
      </c>
    </row>
    <row r="15" spans="1:6" ht="63.75" x14ac:dyDescent="0.2">
      <c r="A15" s="284">
        <v>83362</v>
      </c>
      <c r="B15" s="367" t="s">
        <v>426</v>
      </c>
      <c r="C15" s="54" t="s">
        <v>219</v>
      </c>
      <c r="D15" s="251">
        <v>3.8500000000000001E-3</v>
      </c>
      <c r="E15" s="252">
        <v>174.69</v>
      </c>
      <c r="F15" s="264">
        <f t="shared" si="0"/>
        <v>0.67</v>
      </c>
    </row>
    <row r="16" spans="1:6" ht="63.75" x14ac:dyDescent="0.2">
      <c r="A16" s="284">
        <v>91486</v>
      </c>
      <c r="B16" s="367" t="s">
        <v>518</v>
      </c>
      <c r="C16" s="54" t="s">
        <v>221</v>
      </c>
      <c r="D16" s="251">
        <v>3.8500000000000001E-3</v>
      </c>
      <c r="E16" s="252">
        <v>31.42</v>
      </c>
      <c r="F16" s="264">
        <f t="shared" si="0"/>
        <v>0.12</v>
      </c>
    </row>
    <row r="17" spans="1:9" ht="38.25" x14ac:dyDescent="0.2">
      <c r="A17" s="284">
        <v>95127</v>
      </c>
      <c r="B17" s="367" t="s">
        <v>519</v>
      </c>
      <c r="C17" s="54" t="s">
        <v>219</v>
      </c>
      <c r="D17" s="251">
        <v>7.6899999999999998E-3</v>
      </c>
      <c r="E17" s="252">
        <v>131.77000000000001</v>
      </c>
      <c r="F17" s="264">
        <f t="shared" si="0"/>
        <v>1.01</v>
      </c>
    </row>
    <row r="18" spans="1:9" x14ac:dyDescent="0.2">
      <c r="A18" s="281"/>
      <c r="B18" s="250" t="s">
        <v>226</v>
      </c>
      <c r="C18" s="250"/>
      <c r="D18" s="368"/>
      <c r="E18" s="250"/>
      <c r="F18" s="282">
        <f>SUM(F12:F17)</f>
        <v>3.62</v>
      </c>
    </row>
    <row r="19" spans="1:9" x14ac:dyDescent="0.2">
      <c r="A19" s="284"/>
      <c r="B19" s="369"/>
      <c r="C19" s="369"/>
      <c r="D19" s="370"/>
      <c r="E19" s="369"/>
      <c r="F19" s="377"/>
    </row>
    <row r="20" spans="1:9" x14ac:dyDescent="0.2">
      <c r="A20" s="281" t="s">
        <v>217</v>
      </c>
      <c r="B20" s="250" t="s">
        <v>227</v>
      </c>
      <c r="C20" s="51" t="s">
        <v>213</v>
      </c>
      <c r="D20" s="371" t="s">
        <v>214</v>
      </c>
      <c r="E20" s="51" t="s">
        <v>215</v>
      </c>
      <c r="F20" s="376" t="s">
        <v>216</v>
      </c>
    </row>
    <row r="21" spans="1:9" x14ac:dyDescent="0.2">
      <c r="A21" s="284">
        <v>88316</v>
      </c>
      <c r="B21" s="369" t="s">
        <v>360</v>
      </c>
      <c r="C21" s="54" t="s">
        <v>228</v>
      </c>
      <c r="D21" s="253">
        <v>5.3850000000000002E-2</v>
      </c>
      <c r="E21" s="252">
        <v>14.9</v>
      </c>
      <c r="F21" s="264">
        <f>ROUND((D21*E21),2)</f>
        <v>0.8</v>
      </c>
    </row>
    <row r="22" spans="1:9" x14ac:dyDescent="0.2">
      <c r="A22" s="281"/>
      <c r="B22" s="250" t="s">
        <v>229</v>
      </c>
      <c r="C22" s="250"/>
      <c r="D22" s="368"/>
      <c r="E22" s="250"/>
      <c r="F22" s="282">
        <f>SUM(F21:F21)</f>
        <v>0.8</v>
      </c>
    </row>
    <row r="23" spans="1:9" x14ac:dyDescent="0.2">
      <c r="A23" s="284"/>
      <c r="B23" s="369"/>
      <c r="C23" s="369"/>
      <c r="D23" s="370"/>
      <c r="E23" s="369"/>
      <c r="F23" s="377"/>
    </row>
    <row r="24" spans="1:9" x14ac:dyDescent="0.2">
      <c r="A24" s="281" t="s">
        <v>217</v>
      </c>
      <c r="B24" s="250" t="s">
        <v>230</v>
      </c>
      <c r="C24" s="250" t="s">
        <v>213</v>
      </c>
      <c r="D24" s="368" t="s">
        <v>214</v>
      </c>
      <c r="E24" s="250" t="s">
        <v>215</v>
      </c>
      <c r="F24" s="378" t="s">
        <v>216</v>
      </c>
    </row>
    <row r="25" spans="1:9" ht="25.5" x14ac:dyDescent="0.2">
      <c r="A25" s="793">
        <v>505</v>
      </c>
      <c r="B25" s="367" t="s">
        <v>548</v>
      </c>
      <c r="C25" s="54" t="s">
        <v>232</v>
      </c>
      <c r="D25" s="251">
        <v>2.2999999999999998</v>
      </c>
      <c r="E25" s="866">
        <v>2.43973</v>
      </c>
      <c r="F25" s="264">
        <f>ROUND((D25*E25),2)</f>
        <v>5.61</v>
      </c>
    </row>
    <row r="26" spans="1:9" x14ac:dyDescent="0.2">
      <c r="A26" s="791" t="s">
        <v>476</v>
      </c>
      <c r="B26" s="372" t="s">
        <v>477</v>
      </c>
      <c r="C26" s="364" t="s">
        <v>31</v>
      </c>
      <c r="D26" s="373">
        <v>2.47E-2</v>
      </c>
      <c r="E26" s="254">
        <v>66.290000000000006</v>
      </c>
      <c r="F26" s="379">
        <f>ROUND((D26*E26),2)</f>
        <v>1.64</v>
      </c>
      <c r="H26" s="382"/>
      <c r="I26" s="382"/>
    </row>
    <row r="27" spans="1:9" x14ac:dyDescent="0.2">
      <c r="A27" s="380"/>
      <c r="B27" s="374" t="s">
        <v>234</v>
      </c>
      <c r="C27" s="374"/>
      <c r="D27" s="374"/>
      <c r="E27" s="374"/>
      <c r="F27" s="381">
        <f>SUM(F25:F26)</f>
        <v>7.25</v>
      </c>
    </row>
    <row r="28" spans="1:9" x14ac:dyDescent="0.2">
      <c r="A28" s="380"/>
      <c r="B28" s="374"/>
      <c r="C28" s="374"/>
      <c r="D28" s="374"/>
      <c r="E28" s="374"/>
      <c r="F28" s="381"/>
    </row>
    <row r="29" spans="1:9" x14ac:dyDescent="0.2">
      <c r="A29" s="281"/>
      <c r="B29" s="250" t="s">
        <v>235</v>
      </c>
      <c r="C29" s="250"/>
      <c r="D29" s="250"/>
      <c r="E29" s="250"/>
      <c r="F29" s="282">
        <f>F18+F22+F27</f>
        <v>11.67</v>
      </c>
    </row>
    <row r="30" spans="1:9" x14ac:dyDescent="0.2">
      <c r="A30" s="281"/>
      <c r="B30" s="250" t="s">
        <v>236</v>
      </c>
      <c r="C30" s="250"/>
      <c r="D30" s="250"/>
      <c r="E30" s="255"/>
      <c r="F30" s="282">
        <f>ROUND((F29*E30),2)</f>
        <v>0</v>
      </c>
    </row>
    <row r="31" spans="1:9" ht="13.5" thickBot="1" x14ac:dyDescent="0.25">
      <c r="A31" s="265"/>
      <c r="B31" s="266" t="s">
        <v>237</v>
      </c>
      <c r="C31" s="266"/>
      <c r="D31" s="266"/>
      <c r="E31" s="266"/>
      <c r="F31" s="268">
        <f>F29+F30</f>
        <v>11.67</v>
      </c>
    </row>
    <row r="32" spans="1:9" ht="6" customHeight="1" thickBot="1" x14ac:dyDescent="0.25">
      <c r="A32" s="430"/>
      <c r="B32" s="257"/>
      <c r="C32" s="257"/>
      <c r="D32" s="257"/>
      <c r="E32" s="257"/>
      <c r="F32" s="431"/>
    </row>
    <row r="33" spans="1:9" ht="43.5" customHeight="1" thickBot="1" x14ac:dyDescent="0.25">
      <c r="A33" s="1265" t="str">
        <f>Orçam.!D32</f>
        <v>CAPA SELANTE COMPREENDENDO APLICAÇÃO DE ASFALTO NA PROPORÇÃO DE 0,7 A 1,5L / M2, DISTRIBUIÇÃO DE AGREGADOS DE 5 A 15KG/M2 E COMPACTAÇÃO COM ROLO - COM EMULSAO RR-2C, INCLUSO APLICACAO E COMPACTACAO</v>
      </c>
      <c r="B33" s="1266"/>
      <c r="C33" s="1266"/>
      <c r="D33" s="1266"/>
      <c r="E33" s="1266"/>
      <c r="F33" s="1267"/>
    </row>
    <row r="34" spans="1:9" x14ac:dyDescent="0.2">
      <c r="A34" s="1268" t="s">
        <v>425</v>
      </c>
      <c r="B34" s="1269"/>
      <c r="C34" s="1269"/>
      <c r="D34" s="1269"/>
      <c r="E34" s="1269"/>
      <c r="F34" s="1270"/>
    </row>
    <row r="35" spans="1:9" x14ac:dyDescent="0.2">
      <c r="A35" s="281" t="s">
        <v>217</v>
      </c>
      <c r="B35" s="250" t="s">
        <v>212</v>
      </c>
      <c r="C35" s="51" t="s">
        <v>213</v>
      </c>
      <c r="D35" s="51" t="s">
        <v>214</v>
      </c>
      <c r="E35" s="51" t="s">
        <v>215</v>
      </c>
      <c r="F35" s="376" t="s">
        <v>216</v>
      </c>
    </row>
    <row r="36" spans="1:9" ht="51" x14ac:dyDescent="0.2">
      <c r="A36" s="284">
        <v>6880</v>
      </c>
      <c r="B36" s="367" t="s">
        <v>479</v>
      </c>
      <c r="C36" s="54" t="s">
        <v>221</v>
      </c>
      <c r="D36" s="375">
        <v>5.3000000000000001E-5</v>
      </c>
      <c r="E36" s="252">
        <v>41.97</v>
      </c>
      <c r="F36" s="264">
        <f>ROUND((D36*E36),2)</f>
        <v>0</v>
      </c>
    </row>
    <row r="37" spans="1:9" ht="38.25" x14ac:dyDescent="0.2">
      <c r="A37" s="284">
        <v>7030</v>
      </c>
      <c r="B37" s="367" t="s">
        <v>520</v>
      </c>
      <c r="C37" s="54" t="s">
        <v>219</v>
      </c>
      <c r="D37" s="375">
        <v>1.067E-3</v>
      </c>
      <c r="E37" s="252">
        <v>174.77</v>
      </c>
      <c r="F37" s="264">
        <f>ROUND((D37*E37),2)</f>
        <v>0.19</v>
      </c>
    </row>
    <row r="38" spans="1:9" ht="63.75" x14ac:dyDescent="0.2">
      <c r="A38" s="284">
        <v>83362</v>
      </c>
      <c r="B38" s="367" t="s">
        <v>426</v>
      </c>
      <c r="C38" s="54" t="s">
        <v>219</v>
      </c>
      <c r="D38" s="375">
        <v>7.4700000000000005E-4</v>
      </c>
      <c r="E38" s="252">
        <v>174.69</v>
      </c>
      <c r="F38" s="264">
        <f>ROUND((D38*E38),2)</f>
        <v>0.13</v>
      </c>
    </row>
    <row r="39" spans="1:9" ht="38.25" x14ac:dyDescent="0.2">
      <c r="A39" s="284">
        <v>89035</v>
      </c>
      <c r="B39" s="367" t="s">
        <v>521</v>
      </c>
      <c r="C39" s="54" t="s">
        <v>219</v>
      </c>
      <c r="D39" s="375">
        <v>1.067E-3</v>
      </c>
      <c r="E39" s="252">
        <v>75.319999999999993</v>
      </c>
      <c r="F39" s="264">
        <f>ROUND((D39*E39),2)</f>
        <v>0.08</v>
      </c>
    </row>
    <row r="40" spans="1:9" ht="38.25" x14ac:dyDescent="0.2">
      <c r="A40" s="284">
        <v>92043</v>
      </c>
      <c r="B40" s="367" t="s">
        <v>454</v>
      </c>
      <c r="C40" s="54" t="s">
        <v>219</v>
      </c>
      <c r="D40" s="375">
        <v>1.067E-3</v>
      </c>
      <c r="E40" s="252">
        <v>8.39</v>
      </c>
      <c r="F40" s="264">
        <f>ROUND((D40*E40),2)</f>
        <v>0.01</v>
      </c>
    </row>
    <row r="41" spans="1:9" x14ac:dyDescent="0.2">
      <c r="A41" s="281"/>
      <c r="B41" s="250" t="s">
        <v>226</v>
      </c>
      <c r="C41" s="250"/>
      <c r="D41" s="368"/>
      <c r="E41" s="250"/>
      <c r="F41" s="282">
        <f>SUM(F36:F40)</f>
        <v>0.41</v>
      </c>
    </row>
    <row r="42" spans="1:9" x14ac:dyDescent="0.2">
      <c r="A42" s="281" t="s">
        <v>217</v>
      </c>
      <c r="B42" s="250" t="s">
        <v>227</v>
      </c>
      <c r="C42" s="51" t="s">
        <v>213</v>
      </c>
      <c r="D42" s="371" t="s">
        <v>214</v>
      </c>
      <c r="E42" s="51" t="s">
        <v>215</v>
      </c>
      <c r="F42" s="376" t="s">
        <v>216</v>
      </c>
    </row>
    <row r="43" spans="1:9" x14ac:dyDescent="0.2">
      <c r="A43" s="284">
        <v>88316</v>
      </c>
      <c r="B43" s="369" t="s">
        <v>360</v>
      </c>
      <c r="C43" s="54" t="s">
        <v>228</v>
      </c>
      <c r="D43" s="253">
        <v>4.3E-3</v>
      </c>
      <c r="E43" s="252">
        <v>14.9</v>
      </c>
      <c r="F43" s="264">
        <f>ROUND((D43*E43),2)</f>
        <v>0.06</v>
      </c>
    </row>
    <row r="44" spans="1:9" x14ac:dyDescent="0.2">
      <c r="A44" s="281"/>
      <c r="B44" s="250" t="s">
        <v>229</v>
      </c>
      <c r="C44" s="250"/>
      <c r="D44" s="368"/>
      <c r="E44" s="250"/>
      <c r="F44" s="282">
        <f>SUM(F43:F43)</f>
        <v>0.06</v>
      </c>
    </row>
    <row r="45" spans="1:9" x14ac:dyDescent="0.2">
      <c r="A45" s="281" t="s">
        <v>217</v>
      </c>
      <c r="B45" s="250" t="s">
        <v>230</v>
      </c>
      <c r="C45" s="250" t="s">
        <v>213</v>
      </c>
      <c r="D45" s="368" t="s">
        <v>214</v>
      </c>
      <c r="E45" s="250" t="s">
        <v>215</v>
      </c>
      <c r="F45" s="378" t="s">
        <v>216</v>
      </c>
    </row>
    <row r="46" spans="1:9" ht="25.5" x14ac:dyDescent="0.2">
      <c r="A46" s="793">
        <v>505</v>
      </c>
      <c r="B46" s="367" t="s">
        <v>546</v>
      </c>
      <c r="C46" s="54" t="s">
        <v>393</v>
      </c>
      <c r="D46" s="375">
        <v>1.2</v>
      </c>
      <c r="E46" s="866">
        <v>2.43973</v>
      </c>
      <c r="F46" s="264">
        <f>ROUND((D46*E46),2)</f>
        <v>2.93</v>
      </c>
      <c r="H46" s="794">
        <v>1.4157900000000001</v>
      </c>
      <c r="I46" s="795" t="s">
        <v>545</v>
      </c>
    </row>
    <row r="47" spans="1:9" ht="28.5" customHeight="1" x14ac:dyDescent="0.2">
      <c r="A47" s="792">
        <v>4720</v>
      </c>
      <c r="B47" s="363" t="s">
        <v>475</v>
      </c>
      <c r="C47" s="364" t="s">
        <v>31</v>
      </c>
      <c r="D47" s="365">
        <v>7.1999999999999998E-3</v>
      </c>
      <c r="E47" s="254">
        <v>84.64</v>
      </c>
      <c r="F47" s="432">
        <f>ROUND((D47*E47),2)</f>
        <v>0.61</v>
      </c>
      <c r="I47" s="382">
        <f>D47*1.4*1000</f>
        <v>10.08</v>
      </c>
    </row>
    <row r="48" spans="1:9" x14ac:dyDescent="0.2">
      <c r="A48" s="281"/>
      <c r="B48" s="250" t="s">
        <v>234</v>
      </c>
      <c r="C48" s="250"/>
      <c r="D48" s="250"/>
      <c r="E48" s="250"/>
      <c r="F48" s="282">
        <f>SUM(F46:F47)</f>
        <v>3.54</v>
      </c>
    </row>
    <row r="49" spans="1:6" x14ac:dyDescent="0.2">
      <c r="A49" s="281"/>
      <c r="B49" s="250" t="s">
        <v>235</v>
      </c>
      <c r="C49" s="250"/>
      <c r="D49" s="250"/>
      <c r="E49" s="250"/>
      <c r="F49" s="282">
        <f>F41+F44+F48</f>
        <v>4.01</v>
      </c>
    </row>
    <row r="50" spans="1:6" x14ac:dyDescent="0.2">
      <c r="A50" s="281"/>
      <c r="B50" s="250" t="s">
        <v>236</v>
      </c>
      <c r="C50" s="250"/>
      <c r="D50" s="250"/>
      <c r="E50" s="255"/>
      <c r="F50" s="282">
        <f>ROUND((F49*E50),2)</f>
        <v>0</v>
      </c>
    </row>
    <row r="51" spans="1:6" ht="13.5" thickBot="1" x14ac:dyDescent="0.25">
      <c r="A51" s="265"/>
      <c r="B51" s="266" t="s">
        <v>237</v>
      </c>
      <c r="C51" s="266"/>
      <c r="D51" s="266"/>
      <c r="E51" s="266"/>
      <c r="F51" s="268">
        <f>F49+F50</f>
        <v>4.01</v>
      </c>
    </row>
    <row r="52" spans="1:6" ht="6.75" customHeight="1" thickBot="1" x14ac:dyDescent="0.25">
      <c r="A52" s="256"/>
      <c r="B52" s="257"/>
      <c r="C52" s="257"/>
      <c r="D52" s="257"/>
      <c r="E52" s="257"/>
      <c r="F52" s="257"/>
    </row>
    <row r="53" spans="1:6" ht="20.25" customHeight="1" thickBot="1" x14ac:dyDescent="0.25">
      <c r="A53" s="1265" t="s">
        <v>414</v>
      </c>
      <c r="B53" s="1266"/>
      <c r="C53" s="1266"/>
      <c r="D53" s="1266"/>
      <c r="E53" s="1266"/>
      <c r="F53" s="1267"/>
    </row>
    <row r="54" spans="1:6" x14ac:dyDescent="0.2">
      <c r="A54" s="1268" t="s">
        <v>508</v>
      </c>
      <c r="B54" s="1269"/>
      <c r="C54" s="1269"/>
      <c r="D54" s="1269"/>
      <c r="E54" s="1269"/>
      <c r="F54" s="1270"/>
    </row>
    <row r="55" spans="1:6" x14ac:dyDescent="0.2">
      <c r="A55" s="281" t="s">
        <v>432</v>
      </c>
      <c r="B55" s="250" t="s">
        <v>212</v>
      </c>
      <c r="C55" s="51" t="s">
        <v>213</v>
      </c>
      <c r="D55" s="51" t="s">
        <v>214</v>
      </c>
      <c r="E55" s="51" t="s">
        <v>215</v>
      </c>
      <c r="F55" s="376" t="s">
        <v>216</v>
      </c>
    </row>
    <row r="56" spans="1:6" ht="38.25" x14ac:dyDescent="0.2">
      <c r="A56" s="284">
        <v>5839</v>
      </c>
      <c r="B56" s="367" t="s">
        <v>410</v>
      </c>
      <c r="C56" s="54" t="s">
        <v>219</v>
      </c>
      <c r="D56" s="375">
        <v>1.25E-3</v>
      </c>
      <c r="E56" s="252">
        <v>4.5599999999999996</v>
      </c>
      <c r="F56" s="264">
        <f>ROUND((D56*E56),2)</f>
        <v>0.01</v>
      </c>
    </row>
    <row r="57" spans="1:6" ht="38.25" x14ac:dyDescent="0.2">
      <c r="A57" s="284">
        <v>5841</v>
      </c>
      <c r="B57" s="367" t="s">
        <v>411</v>
      </c>
      <c r="C57" s="54" t="s">
        <v>221</v>
      </c>
      <c r="D57" s="375">
        <v>1.25E-3</v>
      </c>
      <c r="E57" s="252">
        <v>2.2799999999999998</v>
      </c>
      <c r="F57" s="264">
        <f>ROUND((D57*E57),2)</f>
        <v>0</v>
      </c>
    </row>
    <row r="58" spans="1:6" ht="38.25" x14ac:dyDescent="0.2">
      <c r="A58" s="284">
        <v>5843</v>
      </c>
      <c r="B58" s="367" t="s">
        <v>412</v>
      </c>
      <c r="C58" s="54" t="s">
        <v>219</v>
      </c>
      <c r="D58" s="375">
        <v>1.25E-3</v>
      </c>
      <c r="E58" s="252">
        <v>100.44</v>
      </c>
      <c r="F58" s="264">
        <f>ROUND((D58*E58),2)</f>
        <v>0.13</v>
      </c>
    </row>
    <row r="59" spans="1:6" ht="38.25" x14ac:dyDescent="0.2">
      <c r="A59" s="284">
        <v>5845</v>
      </c>
      <c r="B59" s="367" t="s">
        <v>413</v>
      </c>
      <c r="C59" s="54" t="s">
        <v>221</v>
      </c>
      <c r="D59" s="375">
        <v>1.25E-3</v>
      </c>
      <c r="E59" s="252">
        <v>27.18</v>
      </c>
      <c r="F59" s="264">
        <f>ROUND((D59*E59),2)</f>
        <v>0.03</v>
      </c>
    </row>
    <row r="60" spans="1:6" ht="63.75" x14ac:dyDescent="0.2">
      <c r="A60" s="284">
        <v>83362</v>
      </c>
      <c r="B60" s="367" t="s">
        <v>426</v>
      </c>
      <c r="C60" s="54" t="s">
        <v>219</v>
      </c>
      <c r="D60" s="375">
        <v>2.5000000000000001E-3</v>
      </c>
      <c r="E60" s="252">
        <v>174.69</v>
      </c>
      <c r="F60" s="264">
        <f>ROUND((D60*E60),2)</f>
        <v>0.44</v>
      </c>
    </row>
    <row r="61" spans="1:6" x14ac:dyDescent="0.2">
      <c r="A61" s="281"/>
      <c r="B61" s="250" t="s">
        <v>226</v>
      </c>
      <c r="C61" s="250"/>
      <c r="D61" s="368"/>
      <c r="E61" s="250"/>
      <c r="F61" s="282">
        <f>SUM(F56:F60)</f>
        <v>0.61</v>
      </c>
    </row>
    <row r="62" spans="1:6" x14ac:dyDescent="0.2">
      <c r="A62" s="281" t="s">
        <v>432</v>
      </c>
      <c r="B62" s="250" t="s">
        <v>227</v>
      </c>
      <c r="C62" s="51" t="s">
        <v>213</v>
      </c>
      <c r="D62" s="371" t="s">
        <v>214</v>
      </c>
      <c r="E62" s="51" t="s">
        <v>215</v>
      </c>
      <c r="F62" s="376" t="s">
        <v>216</v>
      </c>
    </row>
    <row r="63" spans="1:6" x14ac:dyDescent="0.2">
      <c r="A63" s="284">
        <v>88316</v>
      </c>
      <c r="B63" s="369" t="s">
        <v>360</v>
      </c>
      <c r="C63" s="54" t="s">
        <v>228</v>
      </c>
      <c r="D63" s="253">
        <v>1.4999999999999999E-2</v>
      </c>
      <c r="E63" s="252">
        <v>14.9</v>
      </c>
      <c r="F63" s="264">
        <f>ROUND((D63*E63),2)</f>
        <v>0.22</v>
      </c>
    </row>
    <row r="64" spans="1:6" x14ac:dyDescent="0.2">
      <c r="A64" s="281"/>
      <c r="B64" s="250" t="s">
        <v>229</v>
      </c>
      <c r="C64" s="250"/>
      <c r="D64" s="368"/>
      <c r="E64" s="250"/>
      <c r="F64" s="282">
        <f>SUM(F63:F63)</f>
        <v>0.22</v>
      </c>
    </row>
    <row r="65" spans="1:9" x14ac:dyDescent="0.2">
      <c r="A65" s="281" t="s">
        <v>432</v>
      </c>
      <c r="B65" s="250" t="s">
        <v>230</v>
      </c>
      <c r="C65" s="250" t="s">
        <v>213</v>
      </c>
      <c r="D65" s="368" t="s">
        <v>214</v>
      </c>
      <c r="E65" s="250" t="s">
        <v>215</v>
      </c>
      <c r="F65" s="378" t="s">
        <v>216</v>
      </c>
    </row>
    <row r="66" spans="1:9" ht="25.5" x14ac:dyDescent="0.2">
      <c r="A66" s="793">
        <v>501</v>
      </c>
      <c r="B66" s="367" t="s">
        <v>547</v>
      </c>
      <c r="C66" s="54" t="s">
        <v>393</v>
      </c>
      <c r="D66" s="375">
        <v>1.3</v>
      </c>
      <c r="E66" s="866">
        <v>4.6329900000000004</v>
      </c>
      <c r="F66" s="264">
        <f>ROUND((D66*E66),2)</f>
        <v>6.02</v>
      </c>
      <c r="I66" s="794">
        <v>2.6905999999999999</v>
      </c>
    </row>
    <row r="67" spans="1:9" x14ac:dyDescent="0.2">
      <c r="A67" s="281"/>
      <c r="B67" s="250" t="s">
        <v>234</v>
      </c>
      <c r="C67" s="250"/>
      <c r="D67" s="250"/>
      <c r="E67" s="250"/>
      <c r="F67" s="282">
        <f>SUM(F66:F66)</f>
        <v>6.02</v>
      </c>
    </row>
    <row r="68" spans="1:9" x14ac:dyDescent="0.2">
      <c r="A68" s="281"/>
      <c r="B68" s="250" t="s">
        <v>235</v>
      </c>
      <c r="C68" s="250"/>
      <c r="D68" s="250"/>
      <c r="E68" s="250"/>
      <c r="F68" s="282">
        <f>F61+F64+F67</f>
        <v>6.85</v>
      </c>
    </row>
    <row r="69" spans="1:9" x14ac:dyDescent="0.2">
      <c r="A69" s="281"/>
      <c r="B69" s="250" t="s">
        <v>236</v>
      </c>
      <c r="C69" s="250"/>
      <c r="D69" s="250"/>
      <c r="E69" s="255"/>
      <c r="F69" s="282">
        <f>ROUND((F68*E69),2)</f>
        <v>0</v>
      </c>
    </row>
    <row r="70" spans="1:9" ht="13.5" thickBot="1" x14ac:dyDescent="0.25">
      <c r="A70" s="265"/>
      <c r="B70" s="266" t="s">
        <v>237</v>
      </c>
      <c r="C70" s="266"/>
      <c r="D70" s="266"/>
      <c r="E70" s="266"/>
      <c r="F70" s="268">
        <f>F68+F69</f>
        <v>6.85</v>
      </c>
    </row>
    <row r="71" spans="1:9" ht="13.5" thickBot="1" x14ac:dyDescent="0.25">
      <c r="A71" s="256"/>
      <c r="B71" s="257"/>
      <c r="C71" s="257"/>
      <c r="D71" s="257"/>
      <c r="E71" s="257"/>
      <c r="F71" s="257"/>
    </row>
    <row r="72" spans="1:9" ht="13.5" thickBot="1" x14ac:dyDescent="0.25">
      <c r="A72" s="796" t="s">
        <v>549</v>
      </c>
      <c r="B72" s="1271" t="s">
        <v>550</v>
      </c>
      <c r="C72" s="1271"/>
      <c r="D72" s="1271"/>
      <c r="E72" s="1271"/>
      <c r="F72" s="797" t="s">
        <v>551</v>
      </c>
    </row>
    <row r="73" spans="1:9" x14ac:dyDescent="0.2">
      <c r="A73" s="1272" t="s">
        <v>552</v>
      </c>
      <c r="B73" s="1272"/>
      <c r="C73" s="1272"/>
      <c r="D73" s="1272"/>
      <c r="E73" s="1272"/>
      <c r="F73" s="1273"/>
    </row>
    <row r="74" spans="1:9" x14ac:dyDescent="0.2">
      <c r="A74" s="1274" t="s">
        <v>446</v>
      </c>
      <c r="B74" s="1274"/>
      <c r="C74" s="1274"/>
      <c r="D74" s="1274"/>
      <c r="E74" s="1274"/>
      <c r="F74" s="1275"/>
    </row>
    <row r="75" spans="1:9" ht="25.5" x14ac:dyDescent="0.2">
      <c r="A75" s="798" t="s">
        <v>396</v>
      </c>
      <c r="B75" s="799" t="s">
        <v>553</v>
      </c>
      <c r="C75" s="800" t="s">
        <v>447</v>
      </c>
      <c r="D75" s="801">
        <f>1.05/(0.25*0.25)</f>
        <v>16.8</v>
      </c>
      <c r="E75" s="800">
        <f>F89</f>
        <v>4.8</v>
      </c>
      <c r="F75" s="802">
        <f>E75*D75</f>
        <v>80.64</v>
      </c>
    </row>
    <row r="76" spans="1:9" x14ac:dyDescent="0.2">
      <c r="A76" s="798">
        <v>34353</v>
      </c>
      <c r="B76" s="799" t="s">
        <v>554</v>
      </c>
      <c r="C76" s="800" t="s">
        <v>555</v>
      </c>
      <c r="D76" s="801">
        <v>4</v>
      </c>
      <c r="E76" s="800">
        <v>1.1000000000000001</v>
      </c>
      <c r="F76" s="802">
        <f>E76*D76</f>
        <v>4.4000000000000004</v>
      </c>
    </row>
    <row r="77" spans="1:9" x14ac:dyDescent="0.2">
      <c r="A77" s="798">
        <v>34357</v>
      </c>
      <c r="B77" s="799" t="s">
        <v>556</v>
      </c>
      <c r="C77" s="800" t="s">
        <v>555</v>
      </c>
      <c r="D77" s="801">
        <v>0.52</v>
      </c>
      <c r="E77" s="800">
        <v>3.5</v>
      </c>
      <c r="F77" s="802">
        <f>E77*D77</f>
        <v>1.82</v>
      </c>
    </row>
    <row r="78" spans="1:9" x14ac:dyDescent="0.2">
      <c r="A78" s="798"/>
      <c r="B78" s="799"/>
      <c r="C78" s="800"/>
      <c r="D78" s="801"/>
      <c r="E78" s="800"/>
      <c r="F78" s="802"/>
    </row>
    <row r="79" spans="1:9" x14ac:dyDescent="0.2">
      <c r="A79" s="1274" t="s">
        <v>449</v>
      </c>
      <c r="B79" s="1274"/>
      <c r="C79" s="1274"/>
      <c r="D79" s="1274"/>
      <c r="E79" s="1274"/>
      <c r="F79" s="1275"/>
    </row>
    <row r="80" spans="1:9" ht="25.5" x14ac:dyDescent="0.2">
      <c r="A80" s="803">
        <v>88242</v>
      </c>
      <c r="B80" s="799" t="s">
        <v>468</v>
      </c>
      <c r="C80" s="804" t="s">
        <v>224</v>
      </c>
      <c r="D80" s="805">
        <v>1.2</v>
      </c>
      <c r="E80" s="806">
        <v>14.83</v>
      </c>
      <c r="F80" s="807">
        <f>E80*D80</f>
        <v>17.8</v>
      </c>
    </row>
    <row r="81" spans="1:6" x14ac:dyDescent="0.2">
      <c r="A81" s="803">
        <v>88309</v>
      </c>
      <c r="B81" s="799" t="s">
        <v>469</v>
      </c>
      <c r="C81" s="804" t="s">
        <v>224</v>
      </c>
      <c r="D81" s="805">
        <v>0.5</v>
      </c>
      <c r="E81" s="806">
        <v>18.28</v>
      </c>
      <c r="F81" s="807">
        <f>E81*D81</f>
        <v>9.14</v>
      </c>
    </row>
    <row r="82" spans="1:6" x14ac:dyDescent="0.2">
      <c r="A82" s="1276" t="s">
        <v>450</v>
      </c>
      <c r="B82" s="1276"/>
      <c r="C82" s="1276"/>
      <c r="D82" s="1276"/>
      <c r="E82" s="1276"/>
      <c r="F82" s="808">
        <f>SUM(F75:F81)</f>
        <v>113.8</v>
      </c>
    </row>
    <row r="83" spans="1:6" ht="13.5" thickBot="1" x14ac:dyDescent="0.25">
      <c r="A83" s="99"/>
      <c r="B83" s="99"/>
      <c r="C83" s="99"/>
      <c r="D83" s="99"/>
      <c r="E83" s="99"/>
      <c r="F83" s="809"/>
    </row>
    <row r="84" spans="1:6" ht="14.25" x14ac:dyDescent="0.2">
      <c r="A84" s="1277" t="s">
        <v>557</v>
      </c>
      <c r="B84" s="1277"/>
      <c r="C84" s="1277"/>
      <c r="D84" s="1277"/>
      <c r="E84" s="1277"/>
      <c r="F84" s="1278"/>
    </row>
    <row r="85" spans="1:6" x14ac:dyDescent="0.2">
      <c r="A85" s="810" t="s">
        <v>558</v>
      </c>
      <c r="B85" s="811" t="s">
        <v>559</v>
      </c>
      <c r="C85" s="812" t="s">
        <v>560</v>
      </c>
      <c r="D85" s="812" t="s">
        <v>561</v>
      </c>
      <c r="E85" s="812" t="s">
        <v>441</v>
      </c>
      <c r="F85" s="813" t="s">
        <v>442</v>
      </c>
    </row>
    <row r="86" spans="1:6" x14ac:dyDescent="0.2">
      <c r="A86" s="814"/>
      <c r="B86" s="815" t="s">
        <v>443</v>
      </c>
      <c r="C86" s="816">
        <v>1</v>
      </c>
      <c r="D86" s="817" t="s">
        <v>562</v>
      </c>
      <c r="E86" s="816">
        <v>4.5</v>
      </c>
      <c r="F86" s="818">
        <v>4.5</v>
      </c>
    </row>
    <row r="87" spans="1:6" x14ac:dyDescent="0.2">
      <c r="A87" s="819"/>
      <c r="B87" s="815" t="s">
        <v>445</v>
      </c>
      <c r="C87" s="816">
        <v>1</v>
      </c>
      <c r="D87" s="816" t="s">
        <v>563</v>
      </c>
      <c r="E87" s="816">
        <v>4.99</v>
      </c>
      <c r="F87" s="818">
        <v>4.99</v>
      </c>
    </row>
    <row r="88" spans="1:6" x14ac:dyDescent="0.2">
      <c r="A88" s="819"/>
      <c r="B88" s="820" t="s">
        <v>564</v>
      </c>
      <c r="C88" s="816">
        <v>1</v>
      </c>
      <c r="D88" s="816" t="s">
        <v>565</v>
      </c>
      <c r="E88" s="816">
        <v>4.8</v>
      </c>
      <c r="F88" s="818">
        <v>4.8</v>
      </c>
    </row>
    <row r="89" spans="1:6" ht="13.5" thickBot="1" x14ac:dyDescent="0.25">
      <c r="A89" s="1279"/>
      <c r="B89" s="1279"/>
      <c r="C89" s="1279"/>
      <c r="D89" s="1279"/>
      <c r="E89" s="1279"/>
      <c r="F89" s="821">
        <f>F88</f>
        <v>4.8</v>
      </c>
    </row>
    <row r="90" spans="1:6" ht="13.5" thickBot="1" x14ac:dyDescent="0.25">
      <c r="A90" s="822"/>
      <c r="B90" s="822"/>
      <c r="C90" s="822"/>
      <c r="D90" s="822"/>
      <c r="E90" s="822"/>
      <c r="F90" s="823"/>
    </row>
    <row r="91" spans="1:6" ht="13.5" thickBot="1" x14ac:dyDescent="0.25">
      <c r="A91" s="796" t="s">
        <v>566</v>
      </c>
      <c r="B91" s="1271" t="s">
        <v>567</v>
      </c>
      <c r="C91" s="1271"/>
      <c r="D91" s="1271"/>
      <c r="E91" s="1271"/>
      <c r="F91" s="797" t="s">
        <v>50</v>
      </c>
    </row>
    <row r="92" spans="1:6" x14ac:dyDescent="0.2">
      <c r="A92" s="1272" t="s">
        <v>568</v>
      </c>
      <c r="B92" s="1272"/>
      <c r="C92" s="1272"/>
      <c r="D92" s="1272"/>
      <c r="E92" s="1272"/>
      <c r="F92" s="1273"/>
    </row>
    <row r="93" spans="1:6" x14ac:dyDescent="0.2">
      <c r="A93" s="1274" t="s">
        <v>446</v>
      </c>
      <c r="B93" s="1274"/>
      <c r="C93" s="1274"/>
      <c r="D93" s="1274"/>
      <c r="E93" s="1274"/>
      <c r="F93" s="1275"/>
    </row>
    <row r="94" spans="1:6" ht="38.25" x14ac:dyDescent="0.2">
      <c r="A94" s="798">
        <v>4417</v>
      </c>
      <c r="B94" s="799" t="s">
        <v>569</v>
      </c>
      <c r="C94" s="800" t="s">
        <v>570</v>
      </c>
      <c r="D94" s="801">
        <v>1.4</v>
      </c>
      <c r="E94" s="800">
        <v>2.87</v>
      </c>
      <c r="F94" s="802">
        <f>E94*D94</f>
        <v>4.0199999999999996</v>
      </c>
    </row>
    <row r="95" spans="1:6" ht="38.25" x14ac:dyDescent="0.2">
      <c r="A95" s="798">
        <v>4433</v>
      </c>
      <c r="B95" s="799" t="s">
        <v>571</v>
      </c>
      <c r="C95" s="800" t="s">
        <v>570</v>
      </c>
      <c r="D95" s="801">
        <v>3</v>
      </c>
      <c r="E95" s="800">
        <v>6.62</v>
      </c>
      <c r="F95" s="802">
        <f>E95*D95</f>
        <v>19.86</v>
      </c>
    </row>
    <row r="96" spans="1:6" x14ac:dyDescent="0.2">
      <c r="A96" s="798">
        <v>7288</v>
      </c>
      <c r="B96" s="799" t="s">
        <v>572</v>
      </c>
      <c r="C96" s="800" t="s">
        <v>573</v>
      </c>
      <c r="D96" s="801">
        <v>0.33</v>
      </c>
      <c r="E96" s="800">
        <v>23.62</v>
      </c>
      <c r="F96" s="802">
        <f>E96*D96</f>
        <v>7.79</v>
      </c>
    </row>
    <row r="97" spans="1:6" x14ac:dyDescent="0.2">
      <c r="A97" s="1276" t="s">
        <v>450</v>
      </c>
      <c r="B97" s="1276"/>
      <c r="C97" s="1276"/>
      <c r="D97" s="1276"/>
      <c r="E97" s="1276"/>
      <c r="F97" s="808">
        <f>SUM(F94:F96)</f>
        <v>31.67</v>
      </c>
    </row>
    <row r="98" spans="1:6" x14ac:dyDescent="0.2">
      <c r="A98" s="1274" t="s">
        <v>449</v>
      </c>
      <c r="B98" s="1274"/>
      <c r="C98" s="1274"/>
      <c r="D98" s="1274"/>
      <c r="E98" s="1274"/>
      <c r="F98" s="1275"/>
    </row>
    <row r="99" spans="1:6" ht="25.5" x14ac:dyDescent="0.2">
      <c r="A99" s="803">
        <v>88262</v>
      </c>
      <c r="B99" s="799" t="s">
        <v>574</v>
      </c>
      <c r="C99" s="804" t="s">
        <v>224</v>
      </c>
      <c r="D99" s="805">
        <v>1</v>
      </c>
      <c r="E99" s="806">
        <v>18.18</v>
      </c>
      <c r="F99" s="807">
        <f>E99*D99</f>
        <v>18.18</v>
      </c>
    </row>
    <row r="100" spans="1:6" x14ac:dyDescent="0.2">
      <c r="A100" s="803">
        <v>88310</v>
      </c>
      <c r="B100" s="799" t="s">
        <v>575</v>
      </c>
      <c r="C100" s="804" t="s">
        <v>224</v>
      </c>
      <c r="D100" s="805">
        <v>0.5</v>
      </c>
      <c r="E100" s="806">
        <v>18.21</v>
      </c>
      <c r="F100" s="807">
        <f>E100*D100</f>
        <v>9.11</v>
      </c>
    </row>
    <row r="101" spans="1:6" x14ac:dyDescent="0.2">
      <c r="A101" s="803">
        <v>88316</v>
      </c>
      <c r="B101" s="799" t="s">
        <v>360</v>
      </c>
      <c r="C101" s="804" t="s">
        <v>224</v>
      </c>
      <c r="D101" s="805">
        <v>2</v>
      </c>
      <c r="E101" s="806">
        <v>14.9</v>
      </c>
      <c r="F101" s="807">
        <f>E101*D101</f>
        <v>29.8</v>
      </c>
    </row>
    <row r="102" spans="1:6" x14ac:dyDescent="0.2">
      <c r="A102" s="1276" t="s">
        <v>450</v>
      </c>
      <c r="B102" s="1276"/>
      <c r="C102" s="1276"/>
      <c r="D102" s="1276"/>
      <c r="E102" s="1276"/>
      <c r="F102" s="808">
        <f>SUM(F99:F101)</f>
        <v>57.09</v>
      </c>
    </row>
    <row r="103" spans="1:6" x14ac:dyDescent="0.2">
      <c r="A103" s="1276" t="s">
        <v>576</v>
      </c>
      <c r="B103" s="1276"/>
      <c r="C103" s="1276"/>
      <c r="D103" s="1276"/>
      <c r="E103" s="1276"/>
      <c r="F103" s="808">
        <f>F102+F97</f>
        <v>88.76</v>
      </c>
    </row>
    <row r="104" spans="1:6" ht="13.5" thickBot="1" x14ac:dyDescent="0.25">
      <c r="A104" s="822"/>
      <c r="B104" s="822"/>
      <c r="C104" s="822"/>
      <c r="D104" s="822"/>
      <c r="E104" s="822"/>
      <c r="F104" s="823"/>
    </row>
    <row r="105" spans="1:6" ht="13.5" thickBot="1" x14ac:dyDescent="0.25">
      <c r="A105" s="796" t="s">
        <v>577</v>
      </c>
      <c r="B105" s="1271" t="s">
        <v>578</v>
      </c>
      <c r="C105" s="1271"/>
      <c r="D105" s="1271"/>
      <c r="E105" s="1271"/>
      <c r="F105" s="797" t="s">
        <v>551</v>
      </c>
    </row>
    <row r="106" spans="1:6" x14ac:dyDescent="0.2">
      <c r="A106" s="1272" t="s">
        <v>579</v>
      </c>
      <c r="B106" s="1272"/>
      <c r="C106" s="1272"/>
      <c r="D106" s="1272"/>
      <c r="E106" s="1272"/>
      <c r="F106" s="1273"/>
    </row>
    <row r="107" spans="1:6" x14ac:dyDescent="0.2">
      <c r="A107" s="1274" t="s">
        <v>446</v>
      </c>
      <c r="B107" s="1274"/>
      <c r="C107" s="1274"/>
      <c r="D107" s="1274"/>
      <c r="E107" s="1274"/>
      <c r="F107" s="1275"/>
    </row>
    <row r="108" spans="1:6" ht="38.25" x14ac:dyDescent="0.2">
      <c r="A108" s="798">
        <v>11950</v>
      </c>
      <c r="B108" s="799" t="s">
        <v>580</v>
      </c>
      <c r="C108" s="800" t="s">
        <v>581</v>
      </c>
      <c r="D108" s="801">
        <v>4</v>
      </c>
      <c r="E108" s="800">
        <v>0.16</v>
      </c>
      <c r="F108" s="802">
        <f>E108*D108</f>
        <v>0.64</v>
      </c>
    </row>
    <row r="109" spans="1:6" ht="25.5" x14ac:dyDescent="0.2">
      <c r="A109" s="798">
        <v>34723</v>
      </c>
      <c r="B109" s="799" t="s">
        <v>582</v>
      </c>
      <c r="C109" s="800" t="s">
        <v>551</v>
      </c>
      <c r="D109" s="801">
        <v>1</v>
      </c>
      <c r="E109" s="800">
        <v>981.75</v>
      </c>
      <c r="F109" s="802">
        <f>E109*D109</f>
        <v>981.75</v>
      </c>
    </row>
    <row r="110" spans="1:6" x14ac:dyDescent="0.2">
      <c r="A110" s="798"/>
      <c r="B110" s="799"/>
      <c r="C110" s="800"/>
      <c r="D110" s="801"/>
      <c r="E110" s="800"/>
      <c r="F110" s="802"/>
    </row>
    <row r="111" spans="1:6" x14ac:dyDescent="0.2">
      <c r="A111" s="1276" t="s">
        <v>450</v>
      </c>
      <c r="B111" s="1276"/>
      <c r="C111" s="1276"/>
      <c r="D111" s="1276"/>
      <c r="E111" s="1276"/>
      <c r="F111" s="808">
        <f>SUM(F108:F110)</f>
        <v>982.39</v>
      </c>
    </row>
    <row r="112" spans="1:6" x14ac:dyDescent="0.2">
      <c r="A112" s="1274" t="s">
        <v>449</v>
      </c>
      <c r="B112" s="1274"/>
      <c r="C112" s="1274"/>
      <c r="D112" s="1274"/>
      <c r="E112" s="1274"/>
      <c r="F112" s="1275"/>
    </row>
    <row r="113" spans="1:6" x14ac:dyDescent="0.2">
      <c r="A113" s="803">
        <v>88316</v>
      </c>
      <c r="B113" s="799" t="s">
        <v>360</v>
      </c>
      <c r="C113" s="804" t="s">
        <v>224</v>
      </c>
      <c r="D113" s="805">
        <v>0.4</v>
      </c>
      <c r="E113" s="806">
        <v>14.9</v>
      </c>
      <c r="F113" s="807">
        <f>E113*D113</f>
        <v>5.96</v>
      </c>
    </row>
    <row r="114" spans="1:6" x14ac:dyDescent="0.2">
      <c r="A114" s="1276" t="s">
        <v>450</v>
      </c>
      <c r="B114" s="1276"/>
      <c r="C114" s="1276"/>
      <c r="D114" s="1276"/>
      <c r="E114" s="1276"/>
      <c r="F114" s="808">
        <f>SUM(F113:F113)</f>
        <v>5.96</v>
      </c>
    </row>
    <row r="115" spans="1:6" x14ac:dyDescent="0.2">
      <c r="A115" s="1276" t="s">
        <v>576</v>
      </c>
      <c r="B115" s="1276"/>
      <c r="C115" s="1276"/>
      <c r="D115" s="1276"/>
      <c r="E115" s="1276"/>
      <c r="F115" s="808">
        <f>F114+F111</f>
        <v>988.35</v>
      </c>
    </row>
  </sheetData>
  <mergeCells count="34">
    <mergeCell ref="A115:E115"/>
    <mergeCell ref="A106:F106"/>
    <mergeCell ref="A107:F107"/>
    <mergeCell ref="A111:E111"/>
    <mergeCell ref="A112:F112"/>
    <mergeCell ref="A114:E114"/>
    <mergeCell ref="A97:E97"/>
    <mergeCell ref="A98:F98"/>
    <mergeCell ref="A102:E102"/>
    <mergeCell ref="A103:E103"/>
    <mergeCell ref="B105:E105"/>
    <mergeCell ref="A84:F84"/>
    <mergeCell ref="A89:E89"/>
    <mergeCell ref="B91:E91"/>
    <mergeCell ref="A92:F92"/>
    <mergeCell ref="A93:F93"/>
    <mergeCell ref="B72:E72"/>
    <mergeCell ref="A73:F73"/>
    <mergeCell ref="A74:F74"/>
    <mergeCell ref="A79:F79"/>
    <mergeCell ref="A82:E82"/>
    <mergeCell ref="A53:F53"/>
    <mergeCell ref="A54:F54"/>
    <mergeCell ref="A10:F10"/>
    <mergeCell ref="A9:F9"/>
    <mergeCell ref="A34:F34"/>
    <mergeCell ref="A33:F33"/>
    <mergeCell ref="C1:F1"/>
    <mergeCell ref="C2:F2"/>
    <mergeCell ref="A1:B2"/>
    <mergeCell ref="A7:F7"/>
    <mergeCell ref="B3:F3"/>
    <mergeCell ref="D4:E4"/>
    <mergeCell ref="D5:F6"/>
  </mergeCells>
  <conditionalFormatting sqref="E85">
    <cfRule type="cellIs" dxfId="1" priority="1" stopIfTrue="1" operator="equal">
      <formula>0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81" orientation="portrait" r:id="rId1"/>
  <rowBreaks count="2" manualBreakCount="2">
    <brk id="31" max="5" man="1"/>
    <brk id="52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112" zoomScaleSheetLayoutView="112" workbookViewId="0">
      <selection activeCell="B18" sqref="B18"/>
    </sheetView>
  </sheetViews>
  <sheetFormatPr defaultRowHeight="12.75" x14ac:dyDescent="0.2"/>
  <cols>
    <col min="1" max="1" width="14.140625" style="523" customWidth="1"/>
    <col min="2" max="2" width="63.5703125" style="387" customWidth="1"/>
    <col min="3" max="3" width="9.140625" style="387"/>
    <col min="4" max="4" width="18.42578125" style="387" customWidth="1"/>
    <col min="5" max="5" width="10.42578125" style="387" customWidth="1"/>
    <col min="6" max="6" width="12.140625" style="387" customWidth="1"/>
    <col min="7" max="16384" width="9.140625" style="387"/>
  </cols>
  <sheetData>
    <row r="1" spans="1:7" ht="15.75" x14ac:dyDescent="0.2">
      <c r="A1" s="870" t="str">
        <f>Terrap.!C1</f>
        <v>ESTADO DE MATO GROSSO</v>
      </c>
      <c r="B1" s="871"/>
      <c r="C1" s="871"/>
      <c r="D1" s="871"/>
      <c r="E1" s="871"/>
      <c r="F1" s="871"/>
      <c r="G1" s="871"/>
    </row>
    <row r="2" spans="1:7" ht="15.75" x14ac:dyDescent="0.2">
      <c r="A2" s="873" t="str">
        <f>Terrap.!C2</f>
        <v>PREFEITURA MUNICIPAL DE JACIARA</v>
      </c>
      <c r="B2" s="874"/>
      <c r="C2" s="874"/>
      <c r="D2" s="874"/>
      <c r="E2" s="874"/>
      <c r="F2" s="874"/>
      <c r="G2" s="874"/>
    </row>
    <row r="3" spans="1:7" ht="15" x14ac:dyDescent="0.2">
      <c r="A3" s="487" t="s">
        <v>57</v>
      </c>
      <c r="B3" s="995" t="str">
        <f>Terrap.!B3</f>
        <v>PAVIMENTAÇÃO ASFALTICA EM TSD</v>
      </c>
      <c r="C3" s="1205"/>
      <c r="D3" s="1206"/>
      <c r="E3" s="979" t="s">
        <v>61</v>
      </c>
      <c r="F3" s="979"/>
      <c r="G3" s="472">
        <f>Terrap.!F6</f>
        <v>0.26019999999999999</v>
      </c>
    </row>
    <row r="4" spans="1:7" ht="15" x14ac:dyDescent="0.2">
      <c r="A4" s="487" t="s">
        <v>58</v>
      </c>
      <c r="B4" s="995" t="str">
        <f>Terrap.!B4</f>
        <v>DIVERSAS RUAS - DISTRITO DE CELMA</v>
      </c>
      <c r="C4" s="1205"/>
      <c r="D4" s="1206"/>
      <c r="E4" s="1210" t="str">
        <f>Terrap.!I4</f>
        <v>SINAPI - JANEIRO / 2019                                                                             ANP 12/2018 (com desoneração)</v>
      </c>
      <c r="F4" s="1211"/>
      <c r="G4" s="1211"/>
    </row>
    <row r="5" spans="1:7" ht="15" x14ac:dyDescent="0.2">
      <c r="A5" s="487" t="s">
        <v>59</v>
      </c>
      <c r="B5" s="471" t="str">
        <f>Terrap.!B5</f>
        <v>PREFEITURA MUNICIPAL DE JACIARA</v>
      </c>
      <c r="C5" s="464" t="s">
        <v>455</v>
      </c>
      <c r="D5" s="483" t="str">
        <f>Terrap.!F5</f>
        <v>FEVEREIRO 2019</v>
      </c>
      <c r="E5" s="1213"/>
      <c r="F5" s="1214"/>
      <c r="G5" s="1214"/>
    </row>
    <row r="6" spans="1:7" ht="15.75" thickBot="1" x14ac:dyDescent="0.25">
      <c r="A6" s="524" t="s">
        <v>60</v>
      </c>
      <c r="B6" s="1207">
        <f>Terrap.!B6</f>
        <v>4044.58</v>
      </c>
      <c r="C6" s="1209"/>
      <c r="D6" s="466" t="s">
        <v>62</v>
      </c>
      <c r="E6" s="1216"/>
      <c r="F6" s="1217"/>
      <c r="G6" s="1217"/>
    </row>
    <row r="7" spans="1:7" x14ac:dyDescent="0.2">
      <c r="A7" s="1285" t="s">
        <v>459</v>
      </c>
      <c r="B7" s="1286"/>
      <c r="C7" s="1286"/>
      <c r="D7" s="1286"/>
      <c r="E7" s="1286"/>
      <c r="F7" s="1286"/>
      <c r="G7" s="1287"/>
    </row>
    <row r="8" spans="1:7" ht="13.5" thickBot="1" x14ac:dyDescent="0.25">
      <c r="A8" s="1288"/>
      <c r="B8" s="1289"/>
      <c r="C8" s="1289"/>
      <c r="D8" s="1289"/>
      <c r="E8" s="1289"/>
      <c r="F8" s="1289"/>
      <c r="G8" s="1290"/>
    </row>
    <row r="9" spans="1:7" ht="15.75" thickBot="1" x14ac:dyDescent="0.25">
      <c r="A9" s="1280"/>
      <c r="B9" s="1281"/>
      <c r="C9" s="1281"/>
      <c r="D9" s="1281"/>
      <c r="E9" s="1281"/>
      <c r="F9" s="1281"/>
      <c r="G9" s="1281"/>
    </row>
    <row r="10" spans="1:7" ht="36" customHeight="1" x14ac:dyDescent="0.2">
      <c r="A10" s="519" t="s">
        <v>416</v>
      </c>
      <c r="B10" s="1282" t="s">
        <v>417</v>
      </c>
      <c r="C10" s="1283"/>
      <c r="D10" s="1283"/>
      <c r="E10" s="1283"/>
      <c r="F10" s="1284"/>
      <c r="G10" s="525" t="s">
        <v>50</v>
      </c>
    </row>
    <row r="11" spans="1:7" ht="15" x14ac:dyDescent="0.2">
      <c r="A11" s="526" t="s">
        <v>355</v>
      </c>
      <c r="B11" s="494" t="s">
        <v>418</v>
      </c>
      <c r="C11" s="495"/>
      <c r="D11" s="495"/>
      <c r="E11" s="496"/>
      <c r="F11" s="508"/>
      <c r="G11" s="513"/>
    </row>
    <row r="12" spans="1:7" s="523" customFormat="1" ht="15" x14ac:dyDescent="0.2">
      <c r="A12" s="520" t="s">
        <v>432</v>
      </c>
      <c r="B12" s="500" t="s">
        <v>460</v>
      </c>
      <c r="C12" s="500" t="s">
        <v>213</v>
      </c>
      <c r="D12" s="501" t="s">
        <v>214</v>
      </c>
      <c r="E12" s="500" t="s">
        <v>215</v>
      </c>
      <c r="F12" s="500" t="s">
        <v>216</v>
      </c>
      <c r="G12" s="527"/>
    </row>
    <row r="13" spans="1:7" ht="15" x14ac:dyDescent="0.2">
      <c r="A13" s="506">
        <v>90780</v>
      </c>
      <c r="B13" s="497" t="s">
        <v>427</v>
      </c>
      <c r="C13" s="440" t="s">
        <v>228</v>
      </c>
      <c r="D13" s="502">
        <v>29.76</v>
      </c>
      <c r="E13" s="442">
        <v>25.12</v>
      </c>
      <c r="F13" s="442">
        <f>E13*D13</f>
        <v>747.57</v>
      </c>
      <c r="G13" s="513"/>
    </row>
    <row r="14" spans="1:7" ht="15" x14ac:dyDescent="0.2">
      <c r="A14" s="520"/>
      <c r="B14" s="499" t="s">
        <v>229</v>
      </c>
      <c r="C14" s="499"/>
      <c r="D14" s="503"/>
      <c r="E14" s="499"/>
      <c r="F14" s="509">
        <f>F13</f>
        <v>747.57</v>
      </c>
      <c r="G14" s="513"/>
    </row>
    <row r="15" spans="1:7" ht="15" x14ac:dyDescent="0.2">
      <c r="A15" s="506"/>
      <c r="B15" s="497"/>
      <c r="C15" s="497"/>
      <c r="D15" s="498"/>
      <c r="E15" s="497"/>
      <c r="F15" s="497"/>
      <c r="G15" s="513"/>
    </row>
    <row r="16" spans="1:7" ht="15" x14ac:dyDescent="0.2">
      <c r="A16" s="520" t="s">
        <v>432</v>
      </c>
      <c r="B16" s="499" t="s">
        <v>230</v>
      </c>
      <c r="C16" s="500" t="s">
        <v>213</v>
      </c>
      <c r="D16" s="501" t="s">
        <v>214</v>
      </c>
      <c r="E16" s="499" t="s">
        <v>215</v>
      </c>
      <c r="F16" s="499" t="s">
        <v>216</v>
      </c>
      <c r="G16" s="513"/>
    </row>
    <row r="17" spans="1:7" ht="15" x14ac:dyDescent="0.2">
      <c r="A17" s="506" t="s">
        <v>419</v>
      </c>
      <c r="B17" s="504" t="s">
        <v>420</v>
      </c>
      <c r="C17" s="440" t="s">
        <v>31</v>
      </c>
      <c r="D17" s="505">
        <v>1.5960000000000001</v>
      </c>
      <c r="E17" s="442">
        <v>523.39</v>
      </c>
      <c r="F17" s="442">
        <f t="shared" ref="F17:F22" si="0">D17*E17</f>
        <v>835.33</v>
      </c>
      <c r="G17" s="513"/>
    </row>
    <row r="18" spans="1:7" ht="75" x14ac:dyDescent="0.2">
      <c r="A18" s="506">
        <v>84219</v>
      </c>
      <c r="B18" s="514" t="s">
        <v>428</v>
      </c>
      <c r="C18" s="440" t="s">
        <v>6</v>
      </c>
      <c r="D18" s="505">
        <v>5.32</v>
      </c>
      <c r="E18" s="515">
        <v>26.22</v>
      </c>
      <c r="F18" s="442">
        <f t="shared" si="0"/>
        <v>139.49</v>
      </c>
      <c r="G18" s="513"/>
    </row>
    <row r="19" spans="1:7" ht="30" x14ac:dyDescent="0.2">
      <c r="A19" s="506">
        <v>83519</v>
      </c>
      <c r="B19" s="504" t="s">
        <v>430</v>
      </c>
      <c r="C19" s="440" t="s">
        <v>31</v>
      </c>
      <c r="D19" s="505">
        <v>2.82</v>
      </c>
      <c r="E19" s="442">
        <v>389.94</v>
      </c>
      <c r="F19" s="442">
        <f t="shared" si="0"/>
        <v>1099.6300000000001</v>
      </c>
      <c r="G19" s="513"/>
    </row>
    <row r="20" spans="1:7" ht="30" x14ac:dyDescent="0.2">
      <c r="A20" s="507">
        <v>73406</v>
      </c>
      <c r="B20" s="439" t="s">
        <v>429</v>
      </c>
      <c r="C20" s="440" t="s">
        <v>31</v>
      </c>
      <c r="D20" s="441">
        <v>1.5960000000000001</v>
      </c>
      <c r="E20" s="442">
        <v>411.9</v>
      </c>
      <c r="F20" s="442">
        <f t="shared" si="0"/>
        <v>657.39</v>
      </c>
      <c r="G20" s="513"/>
    </row>
    <row r="21" spans="1:7" ht="90" x14ac:dyDescent="0.2">
      <c r="A21" s="516">
        <v>87901</v>
      </c>
      <c r="B21" s="514" t="s">
        <v>431</v>
      </c>
      <c r="C21" s="440" t="s">
        <v>6</v>
      </c>
      <c r="D21" s="441">
        <v>28.2</v>
      </c>
      <c r="E21" s="517">
        <v>5.0199999999999996</v>
      </c>
      <c r="F21" s="442">
        <f t="shared" si="0"/>
        <v>141.56</v>
      </c>
      <c r="G21" s="513"/>
    </row>
    <row r="22" spans="1:7" ht="45" x14ac:dyDescent="0.2">
      <c r="A22" s="507">
        <v>84072</v>
      </c>
      <c r="B22" s="439" t="s">
        <v>422</v>
      </c>
      <c r="C22" s="440" t="s">
        <v>6</v>
      </c>
      <c r="D22" s="441">
        <v>14.1</v>
      </c>
      <c r="E22" s="442">
        <v>24.41</v>
      </c>
      <c r="F22" s="442">
        <f t="shared" si="0"/>
        <v>344.18</v>
      </c>
      <c r="G22" s="513"/>
    </row>
    <row r="23" spans="1:7" ht="15" x14ac:dyDescent="0.2">
      <c r="A23" s="507"/>
      <c r="B23" s="439"/>
      <c r="C23" s="440"/>
      <c r="D23" s="441"/>
      <c r="E23" s="442"/>
      <c r="F23" s="510"/>
      <c r="G23" s="513"/>
    </row>
    <row r="24" spans="1:7" ht="15" x14ac:dyDescent="0.2">
      <c r="A24" s="520"/>
      <c r="B24" s="499" t="s">
        <v>234</v>
      </c>
      <c r="C24" s="499"/>
      <c r="D24" s="499"/>
      <c r="E24" s="499"/>
      <c r="F24" s="509">
        <f>SUM(F17:F22)</f>
        <v>3217.58</v>
      </c>
      <c r="G24" s="513"/>
    </row>
    <row r="25" spans="1:7" ht="15" x14ac:dyDescent="0.2">
      <c r="A25" s="520"/>
      <c r="B25" s="499" t="s">
        <v>421</v>
      </c>
      <c r="C25" s="499"/>
      <c r="D25" s="499"/>
      <c r="E25" s="499"/>
      <c r="F25" s="509">
        <f>F14</f>
        <v>747.57</v>
      </c>
      <c r="G25" s="513"/>
    </row>
    <row r="26" spans="1:7" ht="15.75" thickBot="1" x14ac:dyDescent="0.25">
      <c r="A26" s="521"/>
      <c r="B26" s="511" t="s">
        <v>237</v>
      </c>
      <c r="C26" s="511"/>
      <c r="D26" s="511"/>
      <c r="E26" s="511"/>
      <c r="F26" s="512">
        <f>F24+F25</f>
        <v>3965.15</v>
      </c>
      <c r="G26" s="518"/>
    </row>
    <row r="27" spans="1:7" x14ac:dyDescent="0.2">
      <c r="A27" s="522"/>
      <c r="B27" s="435"/>
      <c r="C27" s="457"/>
      <c r="D27" s="436"/>
      <c r="E27" s="437"/>
      <c r="F27" s="438"/>
    </row>
    <row r="29" spans="1:7" x14ac:dyDescent="0.2">
      <c r="B29" s="387" t="str">
        <f>Terrap.!B16</f>
        <v xml:space="preserve">  </v>
      </c>
    </row>
    <row r="30" spans="1:7" x14ac:dyDescent="0.2">
      <c r="B30" s="387" t="str">
        <f>Terrap.!B17</f>
        <v xml:space="preserve">   </v>
      </c>
    </row>
  </sheetData>
  <mergeCells count="10">
    <mergeCell ref="A9:G9"/>
    <mergeCell ref="B3:D3"/>
    <mergeCell ref="B4:D4"/>
    <mergeCell ref="B10:F10"/>
    <mergeCell ref="A1:G1"/>
    <mergeCell ref="A2:G2"/>
    <mergeCell ref="E3:F3"/>
    <mergeCell ref="E4:G6"/>
    <mergeCell ref="B6:C6"/>
    <mergeCell ref="A7:G8"/>
  </mergeCells>
  <pageMargins left="0.511811024" right="0.511811024" top="0.78740157499999996" bottom="0.78740157499999996" header="0.31496062000000002" footer="0.31496062000000002"/>
  <pageSetup paperSize="9" scale="6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zoomScale="106" zoomScaleSheetLayoutView="106" workbookViewId="0">
      <selection activeCell="B20" sqref="B20:F20"/>
    </sheetView>
  </sheetViews>
  <sheetFormatPr defaultRowHeight="12.75" x14ac:dyDescent="0.2"/>
  <cols>
    <col min="1" max="1" width="11.7109375" style="1" customWidth="1"/>
    <col min="2" max="2" width="11.28515625" style="1" customWidth="1"/>
    <col min="3" max="3" width="49.28515625" style="1" customWidth="1"/>
    <col min="4" max="4" width="10.85546875" style="1" customWidth="1"/>
    <col min="5" max="5" width="20.42578125" style="1" customWidth="1"/>
    <col min="6" max="6" width="11.85546875" style="1" customWidth="1"/>
    <col min="7" max="7" width="10.7109375" style="1" customWidth="1"/>
    <col min="8" max="16384" width="9.140625" style="1"/>
  </cols>
  <sheetData>
    <row r="1" spans="1:8" ht="48" customHeight="1" x14ac:dyDescent="0.2">
      <c r="A1" s="1062"/>
      <c r="B1" s="1063"/>
      <c r="C1" s="1063"/>
      <c r="D1" s="871" t="str">
        <f>Terrap.!C1</f>
        <v>ESTADO DE MATO GROSSO</v>
      </c>
      <c r="E1" s="871"/>
      <c r="F1" s="871"/>
      <c r="G1" s="871"/>
      <c r="H1" s="872"/>
    </row>
    <row r="2" spans="1:8" ht="48" customHeight="1" x14ac:dyDescent="0.2">
      <c r="A2" s="1064"/>
      <c r="B2" s="1065"/>
      <c r="C2" s="1065"/>
      <c r="D2" s="874" t="str">
        <f>Terrap.!C2</f>
        <v>PREFEITURA MUNICIPAL DE JACIARA</v>
      </c>
      <c r="E2" s="874"/>
      <c r="F2" s="874"/>
      <c r="G2" s="874"/>
      <c r="H2" s="875"/>
    </row>
    <row r="3" spans="1:8" ht="19.5" customHeight="1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979" t="s">
        <v>61</v>
      </c>
      <c r="G3" s="979"/>
      <c r="H3" s="472">
        <f>Terrap.!F6</f>
        <v>0.26019999999999999</v>
      </c>
    </row>
    <row r="4" spans="1:8" ht="19.5" customHeight="1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80" t="str">
        <f>Terrap.!I4</f>
        <v>SINAPI - JANEIRO / 2019                                                                             ANP 12/2018 (com desoneração)</v>
      </c>
      <c r="G4" s="880"/>
      <c r="H4" s="881"/>
    </row>
    <row r="5" spans="1:8" ht="19.5" customHeight="1" x14ac:dyDescent="0.2">
      <c r="A5" s="459" t="s">
        <v>59</v>
      </c>
      <c r="B5" s="471" t="str">
        <f>Terrap.!B5</f>
        <v>PREFEITURA MUNICIPAL DE JACIARA</v>
      </c>
      <c r="C5" s="471"/>
      <c r="D5" s="464" t="s">
        <v>455</v>
      </c>
      <c r="E5" s="483" t="str">
        <f>Terrap.!F5</f>
        <v>FEVEREIRO 2019</v>
      </c>
      <c r="F5" s="880"/>
      <c r="G5" s="880"/>
      <c r="H5" s="881"/>
    </row>
    <row r="6" spans="1:8" ht="19.5" customHeight="1" thickBot="1" x14ac:dyDescent="0.25">
      <c r="A6" s="465" t="s">
        <v>60</v>
      </c>
      <c r="B6" s="879">
        <f>Terrap.!B6</f>
        <v>4044.58</v>
      </c>
      <c r="C6" s="879"/>
      <c r="D6" s="879"/>
      <c r="E6" s="466" t="s">
        <v>62</v>
      </c>
      <c r="F6" s="882"/>
      <c r="G6" s="882"/>
      <c r="H6" s="883"/>
    </row>
    <row r="7" spans="1:8" ht="13.5" thickBot="1" x14ac:dyDescent="0.25"/>
    <row r="8" spans="1:8" ht="27" customHeight="1" thickBot="1" x14ac:dyDescent="0.25">
      <c r="A8" s="1300" t="s">
        <v>394</v>
      </c>
      <c r="B8" s="1301"/>
      <c r="C8" s="1301"/>
      <c r="D8" s="1301"/>
      <c r="E8" s="1301"/>
      <c r="F8" s="1301"/>
      <c r="G8" s="1301"/>
      <c r="H8" s="1302"/>
    </row>
    <row r="9" spans="1:8" ht="16.5" thickBot="1" x14ac:dyDescent="0.25">
      <c r="A9" s="428"/>
      <c r="B9" s="366"/>
      <c r="C9" s="366"/>
      <c r="D9" s="366"/>
      <c r="E9" s="366"/>
      <c r="F9" s="366"/>
      <c r="G9" s="366"/>
      <c r="H9" s="366"/>
    </row>
    <row r="10" spans="1:8" ht="16.5" x14ac:dyDescent="0.2">
      <c r="A10" s="1293" t="s">
        <v>423</v>
      </c>
      <c r="B10" s="1294"/>
      <c r="C10" s="1294"/>
      <c r="D10" s="1294"/>
      <c r="E10" s="1294"/>
      <c r="F10" s="1294"/>
      <c r="G10" s="1295"/>
    </row>
    <row r="11" spans="1:8" x14ac:dyDescent="0.2">
      <c r="A11" s="529" t="s">
        <v>437</v>
      </c>
      <c r="B11" s="1296" t="str">
        <f>B23</f>
        <v>PISO TATIL DE CONCRETO - 0,25 x 0,25m</v>
      </c>
      <c r="C11" s="1296"/>
      <c r="D11" s="1296"/>
      <c r="E11" s="1296"/>
      <c r="F11" s="1296"/>
      <c r="G11" s="1297"/>
    </row>
    <row r="12" spans="1:8" x14ac:dyDescent="0.2">
      <c r="A12" s="530" t="s">
        <v>78</v>
      </c>
      <c r="B12" s="1298" t="s">
        <v>446</v>
      </c>
      <c r="C12" s="1298"/>
      <c r="D12" s="1298"/>
      <c r="E12" s="1298"/>
      <c r="F12" s="1298"/>
      <c r="G12" s="1299"/>
    </row>
    <row r="13" spans="1:8" x14ac:dyDescent="0.2">
      <c r="A13" s="531" t="s">
        <v>23</v>
      </c>
      <c r="B13" s="532" t="s">
        <v>396</v>
      </c>
      <c r="C13" s="533" t="str">
        <f>B11</f>
        <v>PISO TATIL DE CONCRETO - 0,25 x 0,25m</v>
      </c>
      <c r="D13" s="534" t="s">
        <v>447</v>
      </c>
      <c r="E13" s="535">
        <v>1</v>
      </c>
      <c r="F13" s="534">
        <f>G28</f>
        <v>4.8</v>
      </c>
      <c r="G13" s="536">
        <f>F13*E13</f>
        <v>4.8</v>
      </c>
    </row>
    <row r="14" spans="1:8" ht="38.25" x14ac:dyDescent="0.2">
      <c r="A14" s="531" t="s">
        <v>44</v>
      </c>
      <c r="B14" s="532">
        <v>87408</v>
      </c>
      <c r="C14" s="533" t="s">
        <v>448</v>
      </c>
      <c r="D14" s="534" t="s">
        <v>31</v>
      </c>
      <c r="E14" s="537">
        <f>0.25*0.25*0.005</f>
        <v>3.1300000000000002E-4</v>
      </c>
      <c r="F14" s="534">
        <v>945.88</v>
      </c>
      <c r="G14" s="536">
        <f>F14*E14</f>
        <v>0.3</v>
      </c>
    </row>
    <row r="15" spans="1:8" x14ac:dyDescent="0.2">
      <c r="A15" s="531"/>
      <c r="B15" s="532"/>
      <c r="C15" s="533"/>
      <c r="D15" s="534"/>
      <c r="E15" s="535"/>
      <c r="F15" s="534"/>
      <c r="G15" s="536"/>
    </row>
    <row r="16" spans="1:8" x14ac:dyDescent="0.2">
      <c r="A16" s="531"/>
      <c r="B16" s="532"/>
      <c r="C16" s="533"/>
      <c r="D16" s="534"/>
      <c r="E16" s="535"/>
      <c r="F16" s="534"/>
      <c r="G16" s="536"/>
    </row>
    <row r="17" spans="1:7" x14ac:dyDescent="0.2">
      <c r="A17" s="530" t="s">
        <v>83</v>
      </c>
      <c r="B17" s="1298" t="s">
        <v>449</v>
      </c>
      <c r="C17" s="1298"/>
      <c r="D17" s="1298"/>
      <c r="E17" s="1298"/>
      <c r="F17" s="1298"/>
      <c r="G17" s="1299"/>
    </row>
    <row r="18" spans="1:7" ht="12.75" customHeight="1" x14ac:dyDescent="0.2">
      <c r="A18" s="531" t="s">
        <v>24</v>
      </c>
      <c r="B18" s="538">
        <v>88242</v>
      </c>
      <c r="C18" s="533" t="s">
        <v>468</v>
      </c>
      <c r="D18" s="539" t="s">
        <v>224</v>
      </c>
      <c r="E18" s="540">
        <v>0.03</v>
      </c>
      <c r="F18" s="541">
        <v>13.44</v>
      </c>
      <c r="G18" s="542">
        <f>F18*E18</f>
        <v>0.4</v>
      </c>
    </row>
    <row r="19" spans="1:7" ht="12.75" customHeight="1" x14ac:dyDescent="0.2">
      <c r="A19" s="531" t="s">
        <v>32</v>
      </c>
      <c r="B19" s="538">
        <v>88309</v>
      </c>
      <c r="C19" s="533" t="s">
        <v>469</v>
      </c>
      <c r="D19" s="539" t="s">
        <v>224</v>
      </c>
      <c r="E19" s="540">
        <v>0.03</v>
      </c>
      <c r="F19" s="541">
        <v>16.88</v>
      </c>
      <c r="G19" s="542">
        <f>F19*E19</f>
        <v>0.51</v>
      </c>
    </row>
    <row r="20" spans="1:7" ht="17.25" customHeight="1" x14ac:dyDescent="0.2">
      <c r="A20" s="530"/>
      <c r="B20" s="1303" t="s">
        <v>450</v>
      </c>
      <c r="C20" s="1303"/>
      <c r="D20" s="1303"/>
      <c r="E20" s="1303"/>
      <c r="F20" s="1303"/>
      <c r="G20" s="543">
        <f>SUM(G13:G19)</f>
        <v>6.01</v>
      </c>
    </row>
    <row r="21" spans="1:7" ht="13.5" thickBot="1" x14ac:dyDescent="0.25">
      <c r="A21" s="774"/>
      <c r="B21" s="775"/>
      <c r="C21" s="775"/>
      <c r="D21" s="775"/>
      <c r="E21" s="775"/>
      <c r="F21" s="775"/>
      <c r="G21" s="776"/>
    </row>
    <row r="22" spans="1:7" ht="16.5" x14ac:dyDescent="0.2">
      <c r="A22" s="1293" t="s">
        <v>436</v>
      </c>
      <c r="B22" s="1294"/>
      <c r="C22" s="1294"/>
      <c r="D22" s="1294"/>
      <c r="E22" s="1294"/>
      <c r="F22" s="1294"/>
      <c r="G22" s="1295"/>
    </row>
    <row r="23" spans="1:7" x14ac:dyDescent="0.2">
      <c r="A23" s="529" t="s">
        <v>437</v>
      </c>
      <c r="B23" s="1296" t="s">
        <v>463</v>
      </c>
      <c r="C23" s="1296"/>
      <c r="D23" s="1296"/>
      <c r="E23" s="1296"/>
      <c r="F23" s="1296"/>
      <c r="G23" s="1297"/>
    </row>
    <row r="24" spans="1:7" x14ac:dyDescent="0.2">
      <c r="A24" s="544" t="s">
        <v>63</v>
      </c>
      <c r="B24" s="545" t="s">
        <v>438</v>
      </c>
      <c r="C24" s="545" t="s">
        <v>439</v>
      </c>
      <c r="D24" s="545" t="s">
        <v>440</v>
      </c>
      <c r="E24" s="546" t="s">
        <v>71</v>
      </c>
      <c r="F24" s="545" t="s">
        <v>441</v>
      </c>
      <c r="G24" s="547" t="s">
        <v>442</v>
      </c>
    </row>
    <row r="25" spans="1:7" x14ac:dyDescent="0.2">
      <c r="A25" s="737">
        <v>1</v>
      </c>
      <c r="B25" s="738"/>
      <c r="C25" s="777" t="s">
        <v>443</v>
      </c>
      <c r="D25" s="738" t="s">
        <v>82</v>
      </c>
      <c r="E25" s="738">
        <v>1</v>
      </c>
      <c r="F25" s="738">
        <v>4.5</v>
      </c>
      <c r="G25" s="778">
        <f>F25*E25</f>
        <v>4.5</v>
      </c>
    </row>
    <row r="26" spans="1:7" x14ac:dyDescent="0.2">
      <c r="A26" s="737">
        <v>2</v>
      </c>
      <c r="B26" s="738"/>
      <c r="C26" s="777" t="s">
        <v>444</v>
      </c>
      <c r="D26" s="738" t="s">
        <v>82</v>
      </c>
      <c r="E26" s="738">
        <v>1</v>
      </c>
      <c r="F26" s="738">
        <v>4.8</v>
      </c>
      <c r="G26" s="778">
        <f>F26*E26</f>
        <v>4.8</v>
      </c>
    </row>
    <row r="27" spans="1:7" x14ac:dyDescent="0.2">
      <c r="A27" s="737">
        <v>3</v>
      </c>
      <c r="B27" s="738"/>
      <c r="C27" s="779" t="s">
        <v>445</v>
      </c>
      <c r="D27" s="738" t="s">
        <v>82</v>
      </c>
      <c r="E27" s="738">
        <v>1</v>
      </c>
      <c r="F27" s="738">
        <v>4.99</v>
      </c>
      <c r="G27" s="778">
        <f>F27*E27</f>
        <v>4.99</v>
      </c>
    </row>
    <row r="28" spans="1:7" ht="13.5" thickBot="1" x14ac:dyDescent="0.25">
      <c r="A28" s="1291" t="s">
        <v>464</v>
      </c>
      <c r="B28" s="1292"/>
      <c r="C28" s="1292"/>
      <c r="D28" s="1292"/>
      <c r="E28" s="1292"/>
      <c r="F28" s="1292"/>
      <c r="G28" s="780">
        <f>G26</f>
        <v>4.8</v>
      </c>
    </row>
    <row r="29" spans="1:7" x14ac:dyDescent="0.2">
      <c r="A29" s="781"/>
      <c r="B29" s="775"/>
      <c r="C29" s="775"/>
      <c r="D29" s="775"/>
      <c r="E29" s="775"/>
      <c r="F29" s="775"/>
      <c r="G29" s="462"/>
    </row>
    <row r="30" spans="1:7" x14ac:dyDescent="0.2">
      <c r="A30" s="114"/>
      <c r="B30" s="107"/>
      <c r="C30" s="107"/>
      <c r="D30" s="107"/>
      <c r="E30" s="107"/>
      <c r="F30" s="107"/>
    </row>
    <row r="35" spans="3:3" x14ac:dyDescent="0.2">
      <c r="C35" s="383" t="str">
        <f>Terrap.!B16</f>
        <v xml:space="preserve">  </v>
      </c>
    </row>
    <row r="36" spans="3:3" x14ac:dyDescent="0.2">
      <c r="C36" s="1" t="str">
        <f>Terrap.!B17</f>
        <v xml:space="preserve">   </v>
      </c>
    </row>
  </sheetData>
  <mergeCells count="17">
    <mergeCell ref="B6:D6"/>
    <mergeCell ref="F3:G3"/>
    <mergeCell ref="A28:F28"/>
    <mergeCell ref="A10:G10"/>
    <mergeCell ref="B11:G11"/>
    <mergeCell ref="B12:G12"/>
    <mergeCell ref="F4:H6"/>
    <mergeCell ref="A8:H8"/>
    <mergeCell ref="B17:G17"/>
    <mergeCell ref="B20:F20"/>
    <mergeCell ref="A22:G22"/>
    <mergeCell ref="B23:G23"/>
    <mergeCell ref="D1:H1"/>
    <mergeCell ref="D2:H2"/>
    <mergeCell ref="A1:C2"/>
    <mergeCell ref="B3:E3"/>
    <mergeCell ref="B4:E4"/>
  </mergeCells>
  <conditionalFormatting sqref="E24:F24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="130" zoomScaleSheetLayoutView="130" workbookViewId="0">
      <selection activeCell="B4" sqref="B4:H4"/>
    </sheetView>
  </sheetViews>
  <sheetFormatPr defaultRowHeight="12.75" x14ac:dyDescent="0.2"/>
  <cols>
    <col min="1" max="1" width="13.140625" style="443" customWidth="1"/>
    <col min="2" max="2" width="26.5703125" customWidth="1"/>
    <col min="3" max="3" width="32.28515625" customWidth="1"/>
    <col min="4" max="4" width="8.42578125" customWidth="1"/>
    <col min="5" max="5" width="13.28515625" customWidth="1"/>
    <col min="6" max="6" width="8" customWidth="1"/>
    <col min="8" max="8" width="11" customWidth="1"/>
    <col min="9" max="9" width="15.7109375" customWidth="1"/>
    <col min="10" max="10" width="14.5703125" customWidth="1"/>
  </cols>
  <sheetData>
    <row r="1" spans="1:10" ht="48" customHeight="1" x14ac:dyDescent="0.2">
      <c r="A1" s="1304"/>
      <c r="B1" s="1305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872"/>
    </row>
    <row r="2" spans="1:10" ht="48" customHeight="1" x14ac:dyDescent="0.2">
      <c r="A2" s="1306"/>
      <c r="B2" s="1307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875"/>
    </row>
    <row r="3" spans="1:10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80" t="str">
        <f>Terrap.!I4</f>
        <v>SINAPI - JANEIRO / 2019                                                                             ANP 12/2018 (com desoneração)</v>
      </c>
      <c r="J3" s="881"/>
    </row>
    <row r="4" spans="1:10" ht="15" customHeight="1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80"/>
      <c r="J4" s="881"/>
    </row>
    <row r="5" spans="1:10" ht="15" x14ac:dyDescent="0.2">
      <c r="A5" s="459" t="s">
        <v>59</v>
      </c>
      <c r="B5" s="876" t="str">
        <f>Terrap.!B5</f>
        <v>PREFEITURA MUNICIPAL DE JACIARA</v>
      </c>
      <c r="C5" s="876"/>
      <c r="D5" s="876"/>
      <c r="E5" s="464" t="s">
        <v>455</v>
      </c>
      <c r="F5" s="878" t="str">
        <f>Terrap.!F5</f>
        <v>FEVEREIRO 2019</v>
      </c>
      <c r="G5" s="878"/>
      <c r="H5" s="878"/>
      <c r="I5" s="880"/>
      <c r="J5" s="881"/>
    </row>
    <row r="6" spans="1:10" ht="15.75" thickBot="1" x14ac:dyDescent="0.25">
      <c r="A6" s="465" t="s">
        <v>60</v>
      </c>
      <c r="B6" s="879">
        <f>Pavim.!B6</f>
        <v>3632.82</v>
      </c>
      <c r="C6" s="879"/>
      <c r="D6" s="879"/>
      <c r="E6" s="466" t="s">
        <v>61</v>
      </c>
      <c r="F6" s="948">
        <f>Terrap.!F6</f>
        <v>0.26019999999999999</v>
      </c>
      <c r="G6" s="948"/>
      <c r="H6" s="466" t="s">
        <v>62</v>
      </c>
      <c r="I6" s="882"/>
      <c r="J6" s="883"/>
    </row>
    <row r="7" spans="1:10" x14ac:dyDescent="0.2">
      <c r="A7" s="1310" t="s">
        <v>461</v>
      </c>
      <c r="B7" s="1311"/>
      <c r="C7" s="1311"/>
      <c r="D7" s="1311"/>
      <c r="E7" s="1311"/>
      <c r="F7" s="1311"/>
      <c r="G7" s="1311"/>
      <c r="H7" s="1311"/>
      <c r="I7" s="1311"/>
      <c r="J7" s="1312"/>
    </row>
    <row r="8" spans="1:10" ht="13.5" thickBot="1" x14ac:dyDescent="0.25">
      <c r="A8" s="1313"/>
      <c r="B8" s="1314"/>
      <c r="C8" s="1314"/>
      <c r="D8" s="1314"/>
      <c r="E8" s="1314"/>
      <c r="F8" s="1314"/>
      <c r="G8" s="1314"/>
      <c r="H8" s="1314"/>
      <c r="I8" s="1314"/>
      <c r="J8" s="1315"/>
    </row>
    <row r="9" spans="1:10" ht="8.25" customHeight="1" x14ac:dyDescent="0.2">
      <c r="A9" s="528"/>
      <c r="B9" s="528"/>
      <c r="C9" s="528"/>
      <c r="D9" s="528"/>
      <c r="E9" s="528"/>
      <c r="F9" s="528"/>
      <c r="G9" s="528"/>
      <c r="H9" s="528"/>
      <c r="I9" s="528"/>
      <c r="J9" s="528"/>
    </row>
    <row r="10" spans="1:10" x14ac:dyDescent="0.2">
      <c r="A10" s="444"/>
      <c r="B10" s="1316" t="s">
        <v>312</v>
      </c>
      <c r="C10" s="1316"/>
      <c r="D10" s="1316"/>
      <c r="E10" s="1316"/>
      <c r="F10" s="1316"/>
      <c r="G10" s="1316"/>
    </row>
    <row r="11" spans="1:10" x14ac:dyDescent="0.2">
      <c r="A11" s="444"/>
      <c r="B11" s="99"/>
      <c r="C11" s="99"/>
      <c r="D11" s="99"/>
      <c r="E11" s="99"/>
      <c r="F11" s="99"/>
    </row>
    <row r="12" spans="1:10" x14ac:dyDescent="0.2">
      <c r="A12" s="444"/>
      <c r="B12" s="99"/>
      <c r="C12" s="99"/>
      <c r="D12" s="99"/>
      <c r="E12" s="99"/>
      <c r="F12" s="99"/>
    </row>
    <row r="13" spans="1:10" x14ac:dyDescent="0.2">
      <c r="A13" s="444"/>
      <c r="B13" s="99"/>
      <c r="C13" s="99"/>
      <c r="D13" s="99"/>
      <c r="E13" s="99"/>
      <c r="F13" s="99"/>
    </row>
    <row r="14" spans="1:10" x14ac:dyDescent="0.2">
      <c r="A14" s="444"/>
      <c r="B14" s="99"/>
      <c r="C14" s="99"/>
      <c r="D14" s="99"/>
      <c r="E14" s="99"/>
      <c r="F14" s="99"/>
    </row>
    <row r="15" spans="1:10" x14ac:dyDescent="0.2">
      <c r="A15" s="444"/>
      <c r="B15" s="99"/>
      <c r="C15" s="99"/>
      <c r="D15" s="99"/>
      <c r="E15" s="99"/>
      <c r="F15" s="99"/>
    </row>
    <row r="16" spans="1:10" x14ac:dyDescent="0.2">
      <c r="A16" s="444"/>
      <c r="B16" s="99"/>
      <c r="C16" s="99"/>
      <c r="D16" s="99"/>
      <c r="E16" s="99"/>
      <c r="F16" s="99"/>
    </row>
    <row r="17" spans="1:7" x14ac:dyDescent="0.2">
      <c r="A17" s="444"/>
      <c r="B17" s="99"/>
      <c r="C17" s="99"/>
      <c r="D17" s="99"/>
      <c r="E17" s="99"/>
      <c r="F17" s="99"/>
    </row>
    <row r="18" spans="1:7" x14ac:dyDescent="0.2">
      <c r="A18" s="444"/>
      <c r="E18" s="99"/>
      <c r="F18" s="99"/>
    </row>
    <row r="19" spans="1:7" ht="13.5" thickBot="1" x14ac:dyDescent="0.25">
      <c r="A19" s="444"/>
      <c r="B19" s="99"/>
      <c r="C19" s="99"/>
      <c r="D19" s="99"/>
      <c r="E19" s="99"/>
      <c r="F19" s="99"/>
    </row>
    <row r="20" spans="1:7" ht="13.5" thickBot="1" x14ac:dyDescent="0.25">
      <c r="A20" s="100" t="s">
        <v>313</v>
      </c>
      <c r="B20" s="101" t="s">
        <v>314</v>
      </c>
      <c r="C20" s="102"/>
      <c r="D20" s="101"/>
      <c r="E20" s="453">
        <f>'MAT BETUMINOSO'!I11</f>
        <v>112</v>
      </c>
      <c r="F20" s="103" t="s">
        <v>315</v>
      </c>
    </row>
    <row r="21" spans="1:7" ht="25.5" x14ac:dyDescent="0.2">
      <c r="A21" s="104"/>
      <c r="B21" s="105" t="s">
        <v>316</v>
      </c>
      <c r="C21" s="106" t="s">
        <v>317</v>
      </c>
      <c r="D21" s="107"/>
      <c r="E21" s="107"/>
      <c r="F21" s="108"/>
    </row>
    <row r="22" spans="1:7" ht="13.5" thickBot="1" x14ac:dyDescent="0.25">
      <c r="A22" s="104"/>
      <c r="B22" s="107"/>
      <c r="C22" s="107"/>
      <c r="D22" s="107"/>
      <c r="E22" s="107"/>
      <c r="F22" s="108"/>
    </row>
    <row r="23" spans="1:7" ht="13.5" thickBot="1" x14ac:dyDescent="0.25">
      <c r="A23" s="109"/>
      <c r="B23" s="110" t="s">
        <v>318</v>
      </c>
      <c r="C23" s="111" t="s">
        <v>317</v>
      </c>
      <c r="D23" s="453">
        <f>24.715 + 0.247*E20</f>
        <v>52.38</v>
      </c>
      <c r="E23" s="112" t="s">
        <v>319</v>
      </c>
      <c r="F23" s="113"/>
    </row>
    <row r="24" spans="1:7" ht="13.5" thickBot="1" x14ac:dyDescent="0.25">
      <c r="A24" s="114"/>
      <c r="B24" s="107"/>
      <c r="C24" s="107"/>
      <c r="D24" s="107"/>
      <c r="E24" s="107"/>
      <c r="F24" s="107"/>
    </row>
    <row r="25" spans="1:7" ht="17.25" customHeight="1" thickBot="1" x14ac:dyDescent="0.25">
      <c r="A25" s="100" t="s">
        <v>313</v>
      </c>
      <c r="B25" s="101" t="s">
        <v>320</v>
      </c>
      <c r="C25" s="102"/>
      <c r="D25" s="101"/>
      <c r="E25" s="453"/>
      <c r="F25" s="103" t="s">
        <v>315</v>
      </c>
    </row>
    <row r="26" spans="1:7" ht="13.5" customHeight="1" x14ac:dyDescent="0.2">
      <c r="A26" s="104"/>
      <c r="B26" s="105" t="s">
        <v>316</v>
      </c>
      <c r="C26" s="106" t="s">
        <v>321</v>
      </c>
      <c r="D26" s="107"/>
      <c r="E26" s="107"/>
      <c r="F26" s="108"/>
    </row>
    <row r="27" spans="1:7" ht="13.5" thickBot="1" x14ac:dyDescent="0.25">
      <c r="A27" s="104"/>
      <c r="B27" s="107"/>
      <c r="C27" s="107"/>
      <c r="D27" s="107"/>
      <c r="E27" s="107"/>
      <c r="F27" s="108"/>
    </row>
    <row r="28" spans="1:7" ht="12.75" customHeight="1" thickBot="1" x14ac:dyDescent="0.25">
      <c r="A28" s="109"/>
      <c r="B28" s="110" t="s">
        <v>318</v>
      </c>
      <c r="C28" s="111" t="s">
        <v>321</v>
      </c>
      <c r="D28" s="115">
        <f>24.715 + 0.335*E25</f>
        <v>24.72</v>
      </c>
      <c r="E28" s="112" t="s">
        <v>319</v>
      </c>
      <c r="F28" s="113"/>
    </row>
    <row r="29" spans="1:7" x14ac:dyDescent="0.2">
      <c r="A29" s="444"/>
      <c r="B29" s="99"/>
      <c r="C29" s="99"/>
      <c r="D29" s="99"/>
      <c r="E29" s="99"/>
      <c r="F29" s="99"/>
    </row>
    <row r="30" spans="1:7" x14ac:dyDescent="0.2">
      <c r="A30" s="444"/>
      <c r="B30" s="99"/>
      <c r="C30" s="99"/>
      <c r="D30" s="99"/>
      <c r="E30" s="99"/>
      <c r="F30" s="99"/>
    </row>
    <row r="31" spans="1:7" ht="12.75" customHeight="1" x14ac:dyDescent="0.2">
      <c r="A31" s="444"/>
      <c r="B31" s="1317" t="s">
        <v>322</v>
      </c>
      <c r="C31" s="1317"/>
      <c r="D31" s="1317"/>
      <c r="E31" s="1317"/>
      <c r="F31" s="1317"/>
      <c r="G31" s="1317"/>
    </row>
    <row r="32" spans="1:7" x14ac:dyDescent="0.2">
      <c r="A32" s="444"/>
      <c r="B32" s="99"/>
      <c r="C32" s="99"/>
      <c r="D32" s="99"/>
      <c r="E32" s="99"/>
      <c r="F32" s="99"/>
    </row>
    <row r="33" spans="1:6" x14ac:dyDescent="0.2">
      <c r="A33" s="444"/>
      <c r="B33" s="99"/>
      <c r="C33" s="99"/>
      <c r="D33" s="99"/>
      <c r="E33" s="99"/>
      <c r="F33" s="99"/>
    </row>
    <row r="34" spans="1:6" x14ac:dyDescent="0.2">
      <c r="A34" s="444"/>
      <c r="B34" s="99"/>
      <c r="C34" s="99"/>
      <c r="D34" s="99"/>
      <c r="E34" s="99"/>
      <c r="F34" s="99"/>
    </row>
    <row r="35" spans="1:6" x14ac:dyDescent="0.2">
      <c r="A35" s="444"/>
      <c r="B35" s="99"/>
      <c r="C35" s="99"/>
      <c r="D35" s="99"/>
      <c r="E35" s="99"/>
      <c r="F35" s="99"/>
    </row>
    <row r="36" spans="1:6" x14ac:dyDescent="0.2">
      <c r="A36" s="444"/>
      <c r="B36" s="99"/>
      <c r="C36" s="99"/>
      <c r="D36" s="99"/>
      <c r="E36" s="99"/>
      <c r="F36" s="99"/>
    </row>
    <row r="37" spans="1:6" x14ac:dyDescent="0.2">
      <c r="A37" s="444"/>
      <c r="B37" s="99"/>
      <c r="C37" s="99"/>
      <c r="D37" s="99"/>
      <c r="E37" s="99"/>
      <c r="F37" s="99"/>
    </row>
    <row r="38" spans="1:6" x14ac:dyDescent="0.2">
      <c r="A38" s="444"/>
      <c r="B38" s="99"/>
      <c r="C38" s="99"/>
      <c r="D38" s="99"/>
      <c r="E38" s="99"/>
      <c r="F38" s="99"/>
    </row>
    <row r="39" spans="1:6" x14ac:dyDescent="0.2">
      <c r="A39" s="444"/>
      <c r="B39" s="99"/>
      <c r="C39" s="99"/>
      <c r="D39" s="99"/>
      <c r="E39" s="99"/>
      <c r="F39" s="99"/>
    </row>
    <row r="40" spans="1:6" x14ac:dyDescent="0.2">
      <c r="A40" s="444"/>
      <c r="B40" s="99"/>
      <c r="C40" s="99"/>
      <c r="D40" s="99"/>
      <c r="E40" s="99"/>
      <c r="F40" s="99"/>
    </row>
    <row r="41" spans="1:6" x14ac:dyDescent="0.2">
      <c r="A41" s="444"/>
      <c r="B41" s="99"/>
      <c r="C41" s="99"/>
      <c r="D41" s="99"/>
      <c r="E41" s="99"/>
      <c r="F41" s="99"/>
    </row>
    <row r="42" spans="1:6" x14ac:dyDescent="0.2">
      <c r="A42" s="444"/>
      <c r="B42" s="99"/>
      <c r="C42" s="99"/>
      <c r="D42" s="99"/>
      <c r="E42" s="99"/>
      <c r="F42" s="99"/>
    </row>
    <row r="43" spans="1:6" x14ac:dyDescent="0.2">
      <c r="A43" s="444"/>
      <c r="B43" s="99"/>
      <c r="C43" s="99"/>
      <c r="D43" s="99"/>
      <c r="E43" s="99"/>
      <c r="F43" s="99"/>
    </row>
    <row r="44" spans="1:6" x14ac:dyDescent="0.2">
      <c r="A44"/>
    </row>
    <row r="45" spans="1:6" x14ac:dyDescent="0.2">
      <c r="A45"/>
    </row>
    <row r="46" spans="1:6" x14ac:dyDescent="0.2">
      <c r="A46"/>
    </row>
    <row r="47" spans="1:6" x14ac:dyDescent="0.2">
      <c r="A47"/>
    </row>
    <row r="48" spans="1:6" x14ac:dyDescent="0.2">
      <c r="A48"/>
    </row>
    <row r="49" spans="1:6" x14ac:dyDescent="0.2">
      <c r="A49"/>
    </row>
    <row r="50" spans="1:6" x14ac:dyDescent="0.2">
      <c r="A50"/>
    </row>
    <row r="51" spans="1:6" x14ac:dyDescent="0.2">
      <c r="A51"/>
    </row>
    <row r="52" spans="1:6" x14ac:dyDescent="0.2">
      <c r="A52"/>
    </row>
    <row r="53" spans="1:6" x14ac:dyDescent="0.2">
      <c r="A53" s="114"/>
      <c r="B53" s="116"/>
      <c r="C53" s="106"/>
      <c r="D53" s="117"/>
      <c r="E53" s="118"/>
      <c r="F53" s="107"/>
    </row>
    <row r="54" spans="1:6" x14ac:dyDescent="0.2">
      <c r="A54" s="444"/>
      <c r="B54" s="99"/>
      <c r="C54" s="99"/>
      <c r="D54" s="99"/>
      <c r="E54" s="99"/>
      <c r="F54" s="99"/>
    </row>
    <row r="55" spans="1:6" x14ac:dyDescent="0.2">
      <c r="A55" s="444"/>
      <c r="B55" s="99"/>
      <c r="C55" s="99"/>
      <c r="D55" s="99"/>
      <c r="E55" s="99"/>
      <c r="F55" s="99"/>
    </row>
    <row r="56" spans="1:6" x14ac:dyDescent="0.2">
      <c r="A56" s="444"/>
      <c r="B56" s="99"/>
      <c r="C56" s="99"/>
      <c r="D56" s="99"/>
      <c r="E56" s="99"/>
      <c r="F56" s="99"/>
    </row>
    <row r="57" spans="1:6" x14ac:dyDescent="0.2">
      <c r="A57" s="444"/>
      <c r="B57" s="99"/>
      <c r="C57" s="99"/>
      <c r="D57" s="99"/>
      <c r="E57" s="99"/>
      <c r="F57" s="99"/>
    </row>
    <row r="58" spans="1:6" x14ac:dyDescent="0.2">
      <c r="A58" s="444"/>
      <c r="B58" s="99"/>
      <c r="C58" s="99"/>
      <c r="D58" s="99"/>
      <c r="E58" s="99"/>
      <c r="F58" s="99"/>
    </row>
    <row r="59" spans="1:6" x14ac:dyDescent="0.2">
      <c r="A59" s="444"/>
      <c r="B59" s="99"/>
      <c r="C59" s="99"/>
      <c r="D59" s="99"/>
      <c r="E59" s="99"/>
      <c r="F59" s="99"/>
    </row>
    <row r="60" spans="1:6" x14ac:dyDescent="0.2">
      <c r="A60" s="444"/>
      <c r="B60" s="99"/>
      <c r="C60" s="99"/>
      <c r="D60" s="99"/>
      <c r="E60" s="99"/>
      <c r="F60" s="99"/>
    </row>
    <row r="61" spans="1:6" x14ac:dyDescent="0.2">
      <c r="A61" s="444"/>
      <c r="B61" s="99"/>
      <c r="C61" s="99"/>
      <c r="D61" s="99"/>
      <c r="E61" s="99"/>
      <c r="F61" s="99"/>
    </row>
    <row r="62" spans="1:6" x14ac:dyDescent="0.2">
      <c r="A62" s="444"/>
      <c r="B62" s="99"/>
      <c r="C62" s="99"/>
      <c r="D62" s="99"/>
      <c r="E62" s="99"/>
      <c r="F62" s="99"/>
    </row>
    <row r="63" spans="1:6" x14ac:dyDescent="0.2">
      <c r="A63" s="53"/>
      <c r="B63" s="52"/>
      <c r="C63" s="52"/>
      <c r="D63" s="52"/>
      <c r="E63" s="52"/>
      <c r="F63" s="52"/>
    </row>
    <row r="64" spans="1:6" x14ac:dyDescent="0.2">
      <c r="A64" s="53"/>
      <c r="B64" s="52"/>
      <c r="C64" s="52"/>
      <c r="D64" s="52"/>
      <c r="E64" s="52"/>
      <c r="F64" s="52"/>
    </row>
    <row r="65" spans="1:6" x14ac:dyDescent="0.2">
      <c r="A65" s="53"/>
      <c r="B65" s="52"/>
      <c r="C65" s="52"/>
      <c r="D65" s="52"/>
      <c r="E65" s="52"/>
      <c r="F65" s="52"/>
    </row>
    <row r="66" spans="1:6" ht="19.5" customHeight="1" x14ac:dyDescent="0.2">
      <c r="A66" s="53"/>
      <c r="B66" s="52"/>
      <c r="C66" s="52"/>
      <c r="D66" s="52"/>
      <c r="E66" s="52"/>
      <c r="F66" s="52"/>
    </row>
    <row r="67" spans="1:6" ht="19.5" customHeight="1" thickBot="1" x14ac:dyDescent="0.25">
      <c r="A67" s="53"/>
      <c r="B67" s="52"/>
      <c r="C67" s="52"/>
      <c r="D67" s="52"/>
      <c r="E67" s="52"/>
      <c r="F67" s="52"/>
    </row>
    <row r="68" spans="1:6" x14ac:dyDescent="0.2">
      <c r="A68" s="119"/>
      <c r="B68" s="1308" t="s">
        <v>322</v>
      </c>
      <c r="C68" s="1309"/>
      <c r="D68" s="1309"/>
      <c r="E68" s="120"/>
      <c r="F68" s="121"/>
    </row>
    <row r="69" spans="1:6" ht="13.5" thickBot="1" x14ac:dyDescent="0.25">
      <c r="A69" s="122"/>
      <c r="B69" s="52"/>
      <c r="C69" s="52"/>
      <c r="D69" s="52"/>
      <c r="E69" s="52"/>
      <c r="F69" s="123"/>
    </row>
    <row r="70" spans="1:6" ht="15.75" x14ac:dyDescent="0.25">
      <c r="A70" s="124"/>
      <c r="B70" s="125" t="s">
        <v>323</v>
      </c>
      <c r="C70" s="126" t="s">
        <v>324</v>
      </c>
      <c r="D70" s="127" t="s">
        <v>325</v>
      </c>
      <c r="E70" s="128" t="s">
        <v>326</v>
      </c>
      <c r="F70" s="123"/>
    </row>
    <row r="71" spans="1:6" ht="16.5" thickBot="1" x14ac:dyDescent="0.3">
      <c r="A71" s="122"/>
      <c r="B71" s="129"/>
      <c r="C71" s="130"/>
      <c r="D71" s="131" t="s">
        <v>327</v>
      </c>
      <c r="E71" s="132"/>
      <c r="F71" s="123"/>
    </row>
    <row r="72" spans="1:6" x14ac:dyDescent="0.2">
      <c r="A72" s="122"/>
      <c r="B72" s="52" t="s">
        <v>328</v>
      </c>
      <c r="C72" s="52"/>
      <c r="D72" s="52"/>
      <c r="E72" s="52"/>
      <c r="F72" s="123"/>
    </row>
    <row r="73" spans="1:6" x14ac:dyDescent="0.2">
      <c r="A73" s="122"/>
      <c r="B73" s="52" t="s">
        <v>329</v>
      </c>
      <c r="C73" s="52"/>
      <c r="D73" s="52"/>
      <c r="E73" s="52"/>
      <c r="F73" s="123"/>
    </row>
    <row r="74" spans="1:6" x14ac:dyDescent="0.2">
      <c r="A74" s="122"/>
      <c r="B74" s="52" t="s">
        <v>330</v>
      </c>
      <c r="C74" s="52"/>
      <c r="D74" s="52"/>
      <c r="E74" s="52"/>
      <c r="F74" s="123"/>
    </row>
    <row r="75" spans="1:6" ht="13.5" thickBot="1" x14ac:dyDescent="0.25">
      <c r="A75" s="133"/>
      <c r="B75" s="134" t="s">
        <v>331</v>
      </c>
      <c r="C75" s="134"/>
      <c r="D75" s="134"/>
      <c r="E75" s="134"/>
      <c r="F75" s="135"/>
    </row>
    <row r="76" spans="1:6" ht="13.5" thickBot="1" x14ac:dyDescent="0.25">
      <c r="A76" s="53"/>
      <c r="B76" s="52"/>
      <c r="C76" s="52"/>
      <c r="D76" s="52"/>
      <c r="E76" s="52"/>
      <c r="F76" s="52"/>
    </row>
    <row r="77" spans="1:6" x14ac:dyDescent="0.2">
      <c r="A77" s="53"/>
      <c r="B77" s="52"/>
      <c r="C77" s="52"/>
      <c r="D77" s="52"/>
      <c r="E77" s="125" t="s">
        <v>332</v>
      </c>
      <c r="F77" s="121">
        <v>224.886</v>
      </c>
    </row>
    <row r="78" spans="1:6" ht="13.5" thickBot="1" x14ac:dyDescent="0.25">
      <c r="A78" s="53"/>
      <c r="B78" s="52"/>
      <c r="C78" s="52"/>
      <c r="D78" s="52"/>
      <c r="E78" s="136" t="s">
        <v>488</v>
      </c>
      <c r="F78" s="135">
        <v>302.14</v>
      </c>
    </row>
    <row r="79" spans="1:6" x14ac:dyDescent="0.2">
      <c r="A79" s="100" t="s">
        <v>313</v>
      </c>
      <c r="B79" s="101" t="str">
        <f>B20</f>
        <v>RODOVIA COM REVESTIMENTO ASFALTICO</v>
      </c>
      <c r="C79" s="120"/>
      <c r="D79" s="120"/>
      <c r="E79" s="137"/>
      <c r="F79" s="138"/>
    </row>
    <row r="80" spans="1:6" x14ac:dyDescent="0.2">
      <c r="A80" s="122"/>
      <c r="B80" s="52"/>
      <c r="C80" s="52"/>
      <c r="D80" s="52"/>
      <c r="F80" s="139"/>
    </row>
    <row r="81" spans="1:6" x14ac:dyDescent="0.2">
      <c r="A81" s="122" t="s">
        <v>333</v>
      </c>
      <c r="B81" s="107" t="s">
        <v>318</v>
      </c>
      <c r="C81" s="140">
        <f>D23</f>
        <v>52.38</v>
      </c>
      <c r="D81" s="53" t="s">
        <v>319</v>
      </c>
      <c r="E81" s="52"/>
      <c r="F81" s="123"/>
    </row>
    <row r="82" spans="1:6" x14ac:dyDescent="0.2">
      <c r="A82" s="122"/>
      <c r="B82" s="52"/>
      <c r="C82" s="52"/>
      <c r="D82" s="53"/>
      <c r="E82" s="52"/>
      <c r="F82" s="123"/>
    </row>
    <row r="83" spans="1:6" x14ac:dyDescent="0.2">
      <c r="A83" s="122" t="s">
        <v>334</v>
      </c>
      <c r="B83" s="107" t="s">
        <v>335</v>
      </c>
      <c r="C83" s="141">
        <f>((F78-F77)/F77)*100</f>
        <v>34.35</v>
      </c>
      <c r="D83" s="53" t="s">
        <v>15</v>
      </c>
      <c r="E83" s="52"/>
      <c r="F83" s="123"/>
    </row>
    <row r="84" spans="1:6" ht="13.5" thickBot="1" x14ac:dyDescent="0.25">
      <c r="A84" s="122"/>
      <c r="B84" s="52"/>
      <c r="C84" s="52"/>
      <c r="D84" s="53"/>
      <c r="E84" s="52"/>
      <c r="F84" s="123"/>
    </row>
    <row r="85" spans="1:6" ht="13.5" thickBot="1" x14ac:dyDescent="0.25">
      <c r="A85" s="133" t="s">
        <v>336</v>
      </c>
      <c r="B85" s="110" t="s">
        <v>337</v>
      </c>
      <c r="C85" s="142">
        <f>C81*((C83/100)+1)</f>
        <v>70.37</v>
      </c>
      <c r="D85" s="143" t="s">
        <v>319</v>
      </c>
      <c r="E85" s="134"/>
      <c r="F85" s="135"/>
    </row>
    <row r="86" spans="1:6" ht="13.5" thickBot="1" x14ac:dyDescent="0.25">
      <c r="A86" s="53"/>
      <c r="B86" s="52"/>
      <c r="C86" s="52"/>
      <c r="D86" s="52"/>
      <c r="E86" s="52"/>
      <c r="F86" s="52"/>
    </row>
    <row r="87" spans="1:6" x14ac:dyDescent="0.2">
      <c r="A87" s="100" t="s">
        <v>313</v>
      </c>
      <c r="B87" s="101" t="str">
        <f>B25</f>
        <v>RODOVIA COM REVESTIMENTO PRIMARIO</v>
      </c>
      <c r="C87" s="120"/>
      <c r="D87" s="120"/>
      <c r="E87" s="120"/>
      <c r="F87" s="121"/>
    </row>
    <row r="88" spans="1:6" x14ac:dyDescent="0.2">
      <c r="A88" s="122"/>
      <c r="B88" s="52"/>
      <c r="C88" s="52"/>
      <c r="D88" s="52"/>
      <c r="E88" s="52"/>
      <c r="F88" s="123"/>
    </row>
    <row r="89" spans="1:6" x14ac:dyDescent="0.2">
      <c r="A89" s="122" t="s">
        <v>333</v>
      </c>
      <c r="B89" s="107" t="s">
        <v>318</v>
      </c>
      <c r="C89" s="140">
        <f>D28</f>
        <v>24.72</v>
      </c>
      <c r="D89" s="53" t="s">
        <v>319</v>
      </c>
      <c r="E89" s="52"/>
      <c r="F89" s="123"/>
    </row>
    <row r="90" spans="1:6" x14ac:dyDescent="0.2">
      <c r="A90" s="122"/>
      <c r="B90" s="52"/>
      <c r="C90" s="52"/>
      <c r="D90" s="53"/>
      <c r="E90" s="52"/>
      <c r="F90" s="123"/>
    </row>
    <row r="91" spans="1:6" x14ac:dyDescent="0.2">
      <c r="A91" s="122" t="s">
        <v>334</v>
      </c>
      <c r="B91" s="107" t="s">
        <v>335</v>
      </c>
      <c r="C91" s="141">
        <f>C83</f>
        <v>34.35</v>
      </c>
      <c r="D91" s="53" t="s">
        <v>15</v>
      </c>
      <c r="E91" s="52"/>
      <c r="F91" s="123"/>
    </row>
    <row r="92" spans="1:6" ht="13.5" thickBot="1" x14ac:dyDescent="0.25">
      <c r="A92" s="122"/>
      <c r="B92" s="52"/>
      <c r="C92" s="52"/>
      <c r="D92" s="53"/>
      <c r="E92" s="52"/>
      <c r="F92" s="123"/>
    </row>
    <row r="93" spans="1:6" ht="13.5" thickBot="1" x14ac:dyDescent="0.25">
      <c r="A93" s="133" t="s">
        <v>336</v>
      </c>
      <c r="B93" s="110" t="s">
        <v>337</v>
      </c>
      <c r="C93" s="142">
        <f>C89*((C91/100)+1)</f>
        <v>33.21</v>
      </c>
      <c r="D93" s="143" t="s">
        <v>319</v>
      </c>
      <c r="E93" s="134"/>
      <c r="F93" s="135"/>
    </row>
    <row r="94" spans="1:6" x14ac:dyDescent="0.2">
      <c r="A94" s="444"/>
      <c r="B94" s="99"/>
      <c r="C94" s="99"/>
      <c r="D94" s="99"/>
      <c r="E94" s="99"/>
      <c r="F94" s="99"/>
    </row>
    <row r="95" spans="1:6" x14ac:dyDescent="0.2">
      <c r="A95" s="444"/>
      <c r="B95" s="99"/>
      <c r="C95" s="99"/>
      <c r="D95" s="99"/>
      <c r="E95" s="99"/>
      <c r="F95" s="99"/>
    </row>
    <row r="96" spans="1:6" x14ac:dyDescent="0.2">
      <c r="A96" s="444"/>
      <c r="B96" s="99"/>
      <c r="C96" s="99"/>
      <c r="D96" s="99"/>
      <c r="E96" s="99"/>
      <c r="F96" s="99"/>
    </row>
    <row r="97" spans="1:6" x14ac:dyDescent="0.2">
      <c r="A97" s="53"/>
      <c r="B97" s="52"/>
      <c r="C97" s="52"/>
      <c r="D97" s="52"/>
      <c r="E97" s="52"/>
      <c r="F97" s="52"/>
    </row>
    <row r="98" spans="1:6" x14ac:dyDescent="0.2">
      <c r="A98" s="53"/>
      <c r="C98" s="52"/>
      <c r="D98" s="52"/>
      <c r="E98" s="52"/>
      <c r="F98" s="52"/>
    </row>
    <row r="99" spans="1:6" x14ac:dyDescent="0.2">
      <c r="A99" s="53"/>
      <c r="B99" s="454" t="str">
        <f>Terrap.!B16</f>
        <v xml:space="preserve">  </v>
      </c>
      <c r="C99" s="52"/>
      <c r="D99" s="52"/>
      <c r="E99" s="52"/>
      <c r="F99" s="52"/>
    </row>
    <row r="100" spans="1:6" x14ac:dyDescent="0.2">
      <c r="A100" s="53"/>
      <c r="B100" s="455" t="str">
        <f>Terrap.!B17</f>
        <v xml:space="preserve">   </v>
      </c>
      <c r="C100" s="52"/>
      <c r="D100" s="52"/>
      <c r="E100" s="52"/>
      <c r="F100" s="52"/>
    </row>
    <row r="101" spans="1:6" x14ac:dyDescent="0.2">
      <c r="A101" s="53"/>
      <c r="B101" s="52"/>
      <c r="C101" s="52"/>
      <c r="D101" s="52"/>
      <c r="E101" s="52"/>
      <c r="F101" s="52"/>
    </row>
  </sheetData>
  <mergeCells count="14">
    <mergeCell ref="C1:J1"/>
    <mergeCell ref="C2:J2"/>
    <mergeCell ref="A1:B2"/>
    <mergeCell ref="B68:D68"/>
    <mergeCell ref="B4:H4"/>
    <mergeCell ref="B5:D5"/>
    <mergeCell ref="F5:H5"/>
    <mergeCell ref="A7:J8"/>
    <mergeCell ref="B10:G10"/>
    <mergeCell ref="B31:G31"/>
    <mergeCell ref="I3:J6"/>
    <mergeCell ref="B3:H3"/>
    <mergeCell ref="B6:D6"/>
    <mergeCell ref="F6:G6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rowBreaks count="2" manualBreakCount="2">
    <brk id="30" max="9" man="1"/>
    <brk id="66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topLeftCell="B1" zoomScaleSheetLayoutView="100" workbookViewId="0">
      <selection activeCell="N36" sqref="N36:O36"/>
    </sheetView>
  </sheetViews>
  <sheetFormatPr defaultRowHeight="12.75" x14ac:dyDescent="0.2"/>
  <cols>
    <col min="1" max="1" width="10" bestFit="1" customWidth="1"/>
    <col min="2" max="2" width="29.42578125" style="8" customWidth="1"/>
    <col min="3" max="3" width="8" bestFit="1" customWidth="1"/>
    <col min="4" max="4" width="12.140625" customWidth="1"/>
    <col min="5" max="5" width="8.5703125" customWidth="1"/>
    <col min="6" max="6" width="8.28515625" customWidth="1"/>
    <col min="7" max="7" width="14" customWidth="1"/>
    <col min="8" max="8" width="12" bestFit="1" customWidth="1"/>
    <col min="9" max="9" width="14.28515625" bestFit="1" customWidth="1"/>
    <col min="10" max="10" width="9.28515625" bestFit="1" customWidth="1"/>
    <col min="11" max="11" width="12.28515625" bestFit="1" customWidth="1"/>
    <col min="12" max="12" width="9.28515625" bestFit="1" customWidth="1"/>
    <col min="13" max="13" width="11.42578125" customWidth="1"/>
    <col min="14" max="14" width="9.28515625" bestFit="1" customWidth="1"/>
    <col min="15" max="15" width="11.7109375" customWidth="1"/>
    <col min="16" max="16" width="11.85546875" style="65" customWidth="1"/>
    <col min="17" max="27" width="11.85546875" customWidth="1"/>
  </cols>
  <sheetData>
    <row r="1" spans="1:18" x14ac:dyDescent="0.2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x14ac:dyDescent="0.2">
      <c r="A2" s="61" t="s">
        <v>284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8" x14ac:dyDescent="0.2">
      <c r="A3" s="63" t="s">
        <v>8</v>
      </c>
      <c r="B3" s="63" t="s">
        <v>254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8" x14ac:dyDescent="0.2">
      <c r="A4" s="63" t="s">
        <v>22</v>
      </c>
      <c r="B4" s="63" t="s">
        <v>273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8" x14ac:dyDescent="0.2">
      <c r="A5" s="63" t="s">
        <v>59</v>
      </c>
      <c r="B5" s="63" t="s">
        <v>284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8" ht="13.5" thickBo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8" x14ac:dyDescent="0.2">
      <c r="A7" s="1332"/>
      <c r="B7" s="1334" t="s">
        <v>20</v>
      </c>
      <c r="C7" s="1336" t="s">
        <v>15</v>
      </c>
      <c r="D7" s="66" t="s">
        <v>286</v>
      </c>
      <c r="E7" s="66"/>
      <c r="F7" s="1340" t="s">
        <v>287</v>
      </c>
      <c r="G7" s="1341"/>
      <c r="H7" s="1341"/>
      <c r="I7" s="1341"/>
      <c r="J7" s="1341"/>
      <c r="K7" s="1341"/>
      <c r="L7" s="1340" t="s">
        <v>287</v>
      </c>
      <c r="M7" s="1341"/>
      <c r="N7" s="1341"/>
      <c r="O7" s="1341"/>
      <c r="P7" s="67"/>
    </row>
    <row r="8" spans="1:18" ht="13.5" thickBot="1" x14ac:dyDescent="0.25">
      <c r="A8" s="1333"/>
      <c r="B8" s="1335"/>
      <c r="C8" s="1337"/>
      <c r="D8" s="68" t="s">
        <v>288</v>
      </c>
      <c r="E8" s="68"/>
      <c r="F8" s="1338">
        <v>30</v>
      </c>
      <c r="G8" s="1338"/>
      <c r="H8" s="1339">
        <f>F8+30</f>
        <v>60</v>
      </c>
      <c r="I8" s="1339"/>
      <c r="J8" s="1339">
        <f t="shared" ref="J8" si="0">H8+30</f>
        <v>90</v>
      </c>
      <c r="K8" s="1339"/>
      <c r="L8" s="1339">
        <f t="shared" ref="L8" si="1">J8+30</f>
        <v>120</v>
      </c>
      <c r="M8" s="1339"/>
      <c r="N8" s="1339">
        <f t="shared" ref="N8" si="2">L8+30</f>
        <v>150</v>
      </c>
      <c r="O8" s="1339"/>
      <c r="P8" s="69" t="s">
        <v>132</v>
      </c>
    </row>
    <row r="9" spans="1:18" x14ac:dyDescent="0.2">
      <c r="A9" s="70"/>
      <c r="B9" s="71"/>
      <c r="C9" s="72"/>
      <c r="D9" s="72"/>
      <c r="E9" s="72"/>
      <c r="F9" s="73" t="s">
        <v>289</v>
      </c>
      <c r="G9" s="73" t="s">
        <v>180</v>
      </c>
      <c r="H9" s="73" t="s">
        <v>289</v>
      </c>
      <c r="I9" s="73" t="s">
        <v>180</v>
      </c>
      <c r="J9" s="73" t="s">
        <v>289</v>
      </c>
      <c r="K9" s="73" t="s">
        <v>180</v>
      </c>
      <c r="L9" s="73" t="s">
        <v>289</v>
      </c>
      <c r="M9" s="73" t="s">
        <v>180</v>
      </c>
      <c r="N9" s="73" t="s">
        <v>289</v>
      </c>
      <c r="O9" s="73" t="s">
        <v>180</v>
      </c>
      <c r="P9" s="74" t="s">
        <v>290</v>
      </c>
    </row>
    <row r="10" spans="1:18" x14ac:dyDescent="0.2">
      <c r="A10" s="1331">
        <f>Resumo!A10</f>
        <v>1</v>
      </c>
      <c r="B10" s="1328" t="str">
        <f>Resumo!B10</f>
        <v>SERVIÇOS PRELIMINARES</v>
      </c>
      <c r="C10" s="1329" t="e">
        <f>(D10/$D$38)*100</f>
        <v>#REF!</v>
      </c>
      <c r="D10" s="1329">
        <f>Resumo!E10</f>
        <v>7372.39</v>
      </c>
      <c r="E10" s="75" t="s">
        <v>15</v>
      </c>
      <c r="F10" s="1319">
        <v>70</v>
      </c>
      <c r="G10" s="1319"/>
      <c r="H10" s="1319">
        <v>30</v>
      </c>
      <c r="I10" s="1319"/>
      <c r="J10" s="1319">
        <v>0</v>
      </c>
      <c r="K10" s="1319"/>
      <c r="L10" s="1319">
        <v>0</v>
      </c>
      <c r="M10" s="1319"/>
      <c r="N10" s="1319">
        <v>0</v>
      </c>
      <c r="O10" s="1319"/>
      <c r="P10" s="76">
        <f t="shared" ref="P10:P35" si="3">SUM(F10:O10)</f>
        <v>100</v>
      </c>
    </row>
    <row r="11" spans="1:18" x14ac:dyDescent="0.2">
      <c r="A11" s="1331"/>
      <c r="B11" s="1328"/>
      <c r="C11" s="1329"/>
      <c r="D11" s="1329"/>
      <c r="E11" s="77" t="s">
        <v>291</v>
      </c>
      <c r="F11" s="78" t="e">
        <f>($D$10*F10/100)*$G$57</f>
        <v>#REF!</v>
      </c>
      <c r="G11" s="78" t="e">
        <f>D10*F10/100*$H$57</f>
        <v>#REF!</v>
      </c>
      <c r="H11" s="78" t="e">
        <f>D10*H10/100*$G$57</f>
        <v>#REF!</v>
      </c>
      <c r="I11" s="78" t="e">
        <f>D10*H10/100*$H$57</f>
        <v>#REF!</v>
      </c>
      <c r="J11" s="78" t="e">
        <f>D10*J10/100*$G$57</f>
        <v>#REF!</v>
      </c>
      <c r="K11" s="78" t="e">
        <f>D10*J10/100*$H$57</f>
        <v>#REF!</v>
      </c>
      <c r="L11" s="78" t="e">
        <f>D10*L10/100*$G$57</f>
        <v>#REF!</v>
      </c>
      <c r="M11" s="78" t="e">
        <f>D10*L10/100*$H$57</f>
        <v>#REF!</v>
      </c>
      <c r="N11" s="78" t="e">
        <f>D10*N10/100*$G$57</f>
        <v>#REF!</v>
      </c>
      <c r="O11" s="78" t="e">
        <f>D10*N10/100*$H$57</f>
        <v>#REF!</v>
      </c>
      <c r="P11" s="76" t="e">
        <f t="shared" si="3"/>
        <v>#REF!</v>
      </c>
      <c r="R11" s="79" t="e">
        <f>D10-P11</f>
        <v>#REF!</v>
      </c>
    </row>
    <row r="12" spans="1:18" x14ac:dyDescent="0.2">
      <c r="A12" s="1331">
        <f>Resumo!A12</f>
        <v>2</v>
      </c>
      <c r="B12" s="1328" t="str">
        <f>Resumo!B12</f>
        <v>ADMINISTRAÇÃO LOCAL</v>
      </c>
      <c r="C12" s="1329" t="e">
        <f>(D12/$D$38)*100</f>
        <v>#REF!</v>
      </c>
      <c r="D12" s="1329">
        <f>Resumo!E12</f>
        <v>17437.990000000002</v>
      </c>
      <c r="E12" s="75" t="s">
        <v>15</v>
      </c>
      <c r="F12" s="1319">
        <v>20</v>
      </c>
      <c r="G12" s="1319"/>
      <c r="H12" s="1319">
        <v>20</v>
      </c>
      <c r="I12" s="1319"/>
      <c r="J12" s="1319">
        <v>20</v>
      </c>
      <c r="K12" s="1319"/>
      <c r="L12" s="1319">
        <v>20</v>
      </c>
      <c r="M12" s="1319"/>
      <c r="N12" s="1319">
        <v>20</v>
      </c>
      <c r="O12" s="1319"/>
      <c r="P12" s="76">
        <f t="shared" si="3"/>
        <v>100</v>
      </c>
      <c r="R12" s="79"/>
    </row>
    <row r="13" spans="1:18" x14ac:dyDescent="0.2">
      <c r="A13" s="1331"/>
      <c r="B13" s="1328"/>
      <c r="C13" s="1329"/>
      <c r="D13" s="1329"/>
      <c r="E13" s="77" t="s">
        <v>291</v>
      </c>
      <c r="F13" s="78" t="e">
        <f>($D$12*F12/100)*$G$57</f>
        <v>#REF!</v>
      </c>
      <c r="G13" s="78" t="e">
        <f>D12*F12/100*$H$57</f>
        <v>#REF!</v>
      </c>
      <c r="H13" s="78" t="e">
        <f>D12*H12/100*$G$57</f>
        <v>#REF!</v>
      </c>
      <c r="I13" s="78" t="e">
        <f>D12*H12/100*$H$57</f>
        <v>#REF!</v>
      </c>
      <c r="J13" s="78" t="e">
        <f>D12*J12/100*$G$57</f>
        <v>#REF!</v>
      </c>
      <c r="K13" s="78" t="e">
        <f>D12*J12/100*$H$57</f>
        <v>#REF!</v>
      </c>
      <c r="L13" s="78" t="e">
        <f>D12*L12/100*$G$57</f>
        <v>#REF!</v>
      </c>
      <c r="M13" s="78" t="e">
        <f>D12*L12/100*$H$57</f>
        <v>#REF!</v>
      </c>
      <c r="N13" s="78" t="e">
        <f>D12*N12/100*$G$57</f>
        <v>#REF!</v>
      </c>
      <c r="O13" s="78" t="e">
        <f>D12*N12/100*$H$57</f>
        <v>#REF!</v>
      </c>
      <c r="P13" s="76" t="e">
        <f t="shared" si="3"/>
        <v>#REF!</v>
      </c>
      <c r="R13" s="79" t="e">
        <f>D12-P13</f>
        <v>#REF!</v>
      </c>
    </row>
    <row r="14" spans="1:18" x14ac:dyDescent="0.2">
      <c r="A14" s="1331" t="e">
        <f>Resumo!#REF!</f>
        <v>#REF!</v>
      </c>
      <c r="B14" s="1328" t="e">
        <f>Resumo!#REF!</f>
        <v>#REF!</v>
      </c>
      <c r="C14" s="1329" t="e">
        <f t="shared" ref="C14" si="4">(D14/$D$38)*100</f>
        <v>#REF!</v>
      </c>
      <c r="D14" s="1329"/>
      <c r="E14" s="75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76">
        <f t="shared" si="3"/>
        <v>0</v>
      </c>
      <c r="R14" s="79"/>
    </row>
    <row r="15" spans="1:18" x14ac:dyDescent="0.2">
      <c r="A15" s="1331"/>
      <c r="B15" s="1328"/>
      <c r="C15" s="1329"/>
      <c r="D15" s="1329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6">
        <f t="shared" si="3"/>
        <v>0</v>
      </c>
      <c r="R15" s="79"/>
    </row>
    <row r="16" spans="1:18" x14ac:dyDescent="0.2">
      <c r="A16" s="1331" t="e">
        <f>Resumo!#REF!</f>
        <v>#REF!</v>
      </c>
      <c r="B16" s="1328" t="e">
        <f>Resumo!#REF!</f>
        <v>#REF!</v>
      </c>
      <c r="C16" s="1329" t="e">
        <f t="shared" ref="C16" si="5">(D16/$D$38)*100</f>
        <v>#REF!</v>
      </c>
      <c r="D16" s="1329" t="e">
        <f>Resumo!#REF!</f>
        <v>#REF!</v>
      </c>
      <c r="E16" s="75" t="s">
        <v>15</v>
      </c>
      <c r="F16" s="1319">
        <v>20</v>
      </c>
      <c r="G16" s="1319"/>
      <c r="H16" s="1319">
        <v>20</v>
      </c>
      <c r="I16" s="1319"/>
      <c r="J16" s="1319">
        <v>20</v>
      </c>
      <c r="K16" s="1319"/>
      <c r="L16" s="1319">
        <v>20</v>
      </c>
      <c r="M16" s="1319"/>
      <c r="N16" s="1319">
        <v>20</v>
      </c>
      <c r="O16" s="1319"/>
      <c r="P16" s="76">
        <f t="shared" si="3"/>
        <v>100</v>
      </c>
      <c r="R16" s="79"/>
    </row>
    <row r="17" spans="1:18" x14ac:dyDescent="0.2">
      <c r="A17" s="1331"/>
      <c r="B17" s="1328"/>
      <c r="C17" s="1329"/>
      <c r="D17" s="1329"/>
      <c r="E17" s="77" t="s">
        <v>291</v>
      </c>
      <c r="F17" s="78" t="e">
        <f>($D$16*F16/100)*$G$57</f>
        <v>#REF!</v>
      </c>
      <c r="G17" s="78" t="e">
        <f>D16*F16/100*$H$57</f>
        <v>#REF!</v>
      </c>
      <c r="H17" s="78" t="e">
        <f>D16*H16/100*$G$57</f>
        <v>#REF!</v>
      </c>
      <c r="I17" s="78" t="e">
        <f>D16*H16/100*$H$57</f>
        <v>#REF!</v>
      </c>
      <c r="J17" s="78" t="e">
        <f>D16*J16/100*$G$57</f>
        <v>#REF!</v>
      </c>
      <c r="K17" s="78" t="e">
        <f>D16*J16/100*$H$57</f>
        <v>#REF!</v>
      </c>
      <c r="L17" s="78" t="e">
        <f>D16*L16/100*$G$57</f>
        <v>#REF!</v>
      </c>
      <c r="M17" s="78" t="e">
        <f>D16*L16/100*$H$57</f>
        <v>#REF!</v>
      </c>
      <c r="N17" s="78" t="e">
        <f>D16*N16/100*$G$57</f>
        <v>#REF!</v>
      </c>
      <c r="O17" s="78" t="e">
        <f>D16*N16/100*$H$57</f>
        <v>#REF!</v>
      </c>
      <c r="P17" s="76" t="e">
        <f t="shared" si="3"/>
        <v>#REF!</v>
      </c>
      <c r="R17" s="79" t="e">
        <f>D16-P17</f>
        <v>#REF!</v>
      </c>
    </row>
    <row r="18" spans="1:18" x14ac:dyDescent="0.2">
      <c r="A18" s="1331" t="e">
        <f>Resumo!#REF!</f>
        <v>#REF!</v>
      </c>
      <c r="B18" s="1328" t="e">
        <f>Resumo!#REF!</f>
        <v>#REF!</v>
      </c>
      <c r="C18" s="1329" t="e">
        <f t="shared" ref="C18" si="6">(D18/$D$38)*100</f>
        <v>#REF!</v>
      </c>
      <c r="D18" s="1329" t="e">
        <f>Resumo!#REF!</f>
        <v>#REF!</v>
      </c>
      <c r="E18" s="75" t="s">
        <v>15</v>
      </c>
      <c r="F18" s="1319">
        <v>20</v>
      </c>
      <c r="G18" s="1319"/>
      <c r="H18" s="1319">
        <v>20</v>
      </c>
      <c r="I18" s="1319"/>
      <c r="J18" s="1319">
        <v>20</v>
      </c>
      <c r="K18" s="1319"/>
      <c r="L18" s="1319">
        <v>20</v>
      </c>
      <c r="M18" s="1319"/>
      <c r="N18" s="1319">
        <v>20</v>
      </c>
      <c r="O18" s="1319"/>
      <c r="P18" s="76">
        <f t="shared" si="3"/>
        <v>100</v>
      </c>
      <c r="R18" s="79"/>
    </row>
    <row r="19" spans="1:18" x14ac:dyDescent="0.2">
      <c r="A19" s="1331"/>
      <c r="B19" s="1328"/>
      <c r="C19" s="1329"/>
      <c r="D19" s="1329"/>
      <c r="E19" s="77" t="s">
        <v>291</v>
      </c>
      <c r="F19" s="78" t="e">
        <f>($D$18*F18/100)*$G$57</f>
        <v>#REF!</v>
      </c>
      <c r="G19" s="78" t="e">
        <f>D18*F18/100*$H$57</f>
        <v>#REF!</v>
      </c>
      <c r="H19" s="78" t="e">
        <f>D18*H18/100*$G$57</f>
        <v>#REF!</v>
      </c>
      <c r="I19" s="78" t="e">
        <f>D18*H18/100*$H$57</f>
        <v>#REF!</v>
      </c>
      <c r="J19" s="78" t="e">
        <f>D18*J18/100*$G$57</f>
        <v>#REF!</v>
      </c>
      <c r="K19" s="78" t="e">
        <f>D18*J18/100*$H$57</f>
        <v>#REF!</v>
      </c>
      <c r="L19" s="78" t="e">
        <f>D18*L18/100*$G$57</f>
        <v>#REF!</v>
      </c>
      <c r="M19" s="78" t="e">
        <f>D18*L18/100*$H$57</f>
        <v>#REF!</v>
      </c>
      <c r="N19" s="78" t="e">
        <f>D18*N18/100*$G$57</f>
        <v>#REF!</v>
      </c>
      <c r="O19" s="78" t="e">
        <f>D18*N18/100*$H$57-0.02</f>
        <v>#REF!</v>
      </c>
      <c r="P19" s="76" t="e">
        <f t="shared" si="3"/>
        <v>#REF!</v>
      </c>
      <c r="R19" s="79" t="e">
        <f>D18-P19</f>
        <v>#REF!</v>
      </c>
    </row>
    <row r="20" spans="1:18" x14ac:dyDescent="0.2">
      <c r="A20" s="1331" t="e">
        <f>Resumo!#REF!</f>
        <v>#REF!</v>
      </c>
      <c r="B20" s="1328" t="e">
        <f>Resumo!#REF!</f>
        <v>#REF!</v>
      </c>
      <c r="C20" s="1329" t="e">
        <f t="shared" ref="C20" si="7">(D20/$D$38)*100</f>
        <v>#REF!</v>
      </c>
      <c r="D20" s="1329" t="e">
        <f>Resumo!#REF!</f>
        <v>#REF!</v>
      </c>
      <c r="E20" s="75" t="s">
        <v>15</v>
      </c>
      <c r="F20" s="1319">
        <v>20</v>
      </c>
      <c r="G20" s="1319"/>
      <c r="H20" s="1319">
        <v>20</v>
      </c>
      <c r="I20" s="1319"/>
      <c r="J20" s="1319">
        <v>20</v>
      </c>
      <c r="K20" s="1319"/>
      <c r="L20" s="1319">
        <v>20</v>
      </c>
      <c r="M20" s="1319"/>
      <c r="N20" s="1319">
        <v>20</v>
      </c>
      <c r="O20" s="1319"/>
      <c r="P20" s="76">
        <f t="shared" si="3"/>
        <v>100</v>
      </c>
      <c r="R20" s="79"/>
    </row>
    <row r="21" spans="1:18" x14ac:dyDescent="0.2">
      <c r="A21" s="1331"/>
      <c r="B21" s="1328"/>
      <c r="C21" s="1329"/>
      <c r="D21" s="1329"/>
      <c r="E21" s="77" t="s">
        <v>291</v>
      </c>
      <c r="F21" s="78" t="e">
        <f>($D$20*F20/100)*$G$57</f>
        <v>#REF!</v>
      </c>
      <c r="G21" s="78" t="e">
        <f>D20*F20/100*$H$57</f>
        <v>#REF!</v>
      </c>
      <c r="H21" s="78" t="e">
        <f>D20*H20/100*$G$57</f>
        <v>#REF!</v>
      </c>
      <c r="I21" s="78" t="e">
        <f>D20*H20/100*$H$57</f>
        <v>#REF!</v>
      </c>
      <c r="J21" s="78" t="e">
        <f>D20*J20/100*$G$57</f>
        <v>#REF!</v>
      </c>
      <c r="K21" s="78" t="e">
        <f>D20*J20/100*$H$57</f>
        <v>#REF!</v>
      </c>
      <c r="L21" s="78" t="e">
        <f>D20*L20/100*$G$57</f>
        <v>#REF!</v>
      </c>
      <c r="M21" s="78" t="e">
        <f>D20*L20/100*$H$57</f>
        <v>#REF!</v>
      </c>
      <c r="N21" s="78" t="e">
        <f>D20*N20/100*$G$57</f>
        <v>#REF!</v>
      </c>
      <c r="O21" s="78" t="e">
        <f>D20*N20/100*$H$57-0.03</f>
        <v>#REF!</v>
      </c>
      <c r="P21" s="76" t="e">
        <f t="shared" si="3"/>
        <v>#REF!</v>
      </c>
      <c r="R21" s="79" t="e">
        <f>D20-P21</f>
        <v>#REF!</v>
      </c>
    </row>
    <row r="22" spans="1:18" x14ac:dyDescent="0.2">
      <c r="A22" s="1331" t="e">
        <f>Resumo!#REF!</f>
        <v>#REF!</v>
      </c>
      <c r="B22" s="1328" t="e">
        <f>Resumo!#REF!</f>
        <v>#REF!</v>
      </c>
      <c r="C22" s="1329" t="e">
        <f t="shared" ref="C22" si="8">(D22/$D$38)*100</f>
        <v>#REF!</v>
      </c>
      <c r="D22" s="1329" t="e">
        <f>Resumo!#REF!</f>
        <v>#REF!</v>
      </c>
      <c r="E22" s="75"/>
      <c r="F22" s="1319">
        <v>20</v>
      </c>
      <c r="G22" s="1319"/>
      <c r="H22" s="1319">
        <v>20</v>
      </c>
      <c r="I22" s="1319"/>
      <c r="J22" s="1319">
        <v>20</v>
      </c>
      <c r="K22" s="1319"/>
      <c r="L22" s="1319">
        <v>20</v>
      </c>
      <c r="M22" s="1319"/>
      <c r="N22" s="1319">
        <v>20</v>
      </c>
      <c r="O22" s="1319"/>
      <c r="P22" s="76">
        <f t="shared" si="3"/>
        <v>100</v>
      </c>
      <c r="R22" s="79"/>
    </row>
    <row r="23" spans="1:18" x14ac:dyDescent="0.2">
      <c r="A23" s="1331"/>
      <c r="B23" s="1328"/>
      <c r="C23" s="1329"/>
      <c r="D23" s="1329"/>
      <c r="E23" s="77"/>
      <c r="F23" s="78" t="e">
        <f>($D$22*F22/100)*$G$57</f>
        <v>#REF!</v>
      </c>
      <c r="G23" s="78" t="e">
        <f>D22*F22/100*$H$57</f>
        <v>#REF!</v>
      </c>
      <c r="H23" s="78" t="e">
        <f>D22*H22/100*$G$57</f>
        <v>#REF!</v>
      </c>
      <c r="I23" s="78" t="e">
        <f>D22*H22/100*$H$57</f>
        <v>#REF!</v>
      </c>
      <c r="J23" s="78" t="e">
        <f>D22*J22/100*$G$57</f>
        <v>#REF!</v>
      </c>
      <c r="K23" s="78" t="e">
        <f>D22*J22/100*$H$57</f>
        <v>#REF!</v>
      </c>
      <c r="L23" s="78" t="e">
        <f>D22*L22/100*$G$57</f>
        <v>#REF!</v>
      </c>
      <c r="M23" s="78" t="e">
        <f>D22*L22/100*$H$57</f>
        <v>#REF!</v>
      </c>
      <c r="N23" s="78" t="e">
        <f>D22*N22/100*$G$57</f>
        <v>#REF!</v>
      </c>
      <c r="O23" s="78" t="e">
        <f>D22*N22/100*$H$57-0.02</f>
        <v>#REF!</v>
      </c>
      <c r="P23" s="76" t="e">
        <f t="shared" si="3"/>
        <v>#REF!</v>
      </c>
      <c r="R23" s="79" t="e">
        <f>D22-P23</f>
        <v>#REF!</v>
      </c>
    </row>
    <row r="24" spans="1:18" x14ac:dyDescent="0.2">
      <c r="A24" s="1331" t="e">
        <f>Resumo!#REF!</f>
        <v>#REF!</v>
      </c>
      <c r="B24" s="1328" t="e">
        <f>Resumo!#REF!</f>
        <v>#REF!</v>
      </c>
      <c r="C24" s="1329" t="e">
        <f t="shared" ref="C24:C26" si="9">(D24/$D$38)*100</f>
        <v>#REF!</v>
      </c>
      <c r="D24" s="1329" t="e">
        <f>Resumo!#REF!</f>
        <v>#REF!</v>
      </c>
      <c r="E24" s="75" t="s">
        <v>15</v>
      </c>
      <c r="F24" s="1319">
        <v>20</v>
      </c>
      <c r="G24" s="1319"/>
      <c r="H24" s="1319">
        <v>20</v>
      </c>
      <c r="I24" s="1319"/>
      <c r="J24" s="1319">
        <v>20</v>
      </c>
      <c r="K24" s="1319"/>
      <c r="L24" s="1319">
        <v>20</v>
      </c>
      <c r="M24" s="1319"/>
      <c r="N24" s="1319">
        <v>20</v>
      </c>
      <c r="O24" s="1319"/>
      <c r="P24" s="76">
        <f t="shared" si="3"/>
        <v>100</v>
      </c>
      <c r="R24" s="79"/>
    </row>
    <row r="25" spans="1:18" x14ac:dyDescent="0.2">
      <c r="A25" s="1331"/>
      <c r="B25" s="1328"/>
      <c r="C25" s="1329"/>
      <c r="D25" s="1329"/>
      <c r="E25" s="77" t="s">
        <v>291</v>
      </c>
      <c r="F25" s="78" t="e">
        <f>($D$24*F24/100)*$G$57</f>
        <v>#REF!</v>
      </c>
      <c r="G25" s="78" t="e">
        <f>D24*F24/100*$H$57</f>
        <v>#REF!</v>
      </c>
      <c r="H25" s="78" t="e">
        <f>D24*H24/100*$G$57</f>
        <v>#REF!</v>
      </c>
      <c r="I25" s="78" t="e">
        <f>D24*H24/100*$H$57</f>
        <v>#REF!</v>
      </c>
      <c r="J25" s="78" t="e">
        <f>D24*J24/100*$G$57</f>
        <v>#REF!</v>
      </c>
      <c r="K25" s="78" t="e">
        <f>D24*J24/100*$H$57</f>
        <v>#REF!</v>
      </c>
      <c r="L25" s="78" t="e">
        <f>D24*L24/100*$G$57</f>
        <v>#REF!</v>
      </c>
      <c r="M25" s="78" t="e">
        <f>D24*L24/100*$H$57</f>
        <v>#REF!</v>
      </c>
      <c r="N25" s="78" t="e">
        <f>D24*N24/100*$G$57</f>
        <v>#REF!</v>
      </c>
      <c r="O25" s="78" t="e">
        <f>D24*N24/100*$H$57+0.01</f>
        <v>#REF!</v>
      </c>
      <c r="P25" s="76" t="e">
        <f t="shared" si="3"/>
        <v>#REF!</v>
      </c>
      <c r="R25" s="79" t="e">
        <f>D24-P25</f>
        <v>#REF!</v>
      </c>
    </row>
    <row r="26" spans="1:18" x14ac:dyDescent="0.2">
      <c r="A26" s="1331">
        <f>Resumo!A14</f>
        <v>3</v>
      </c>
      <c r="B26" s="1328" t="str">
        <f>Resumo!B14</f>
        <v>PAVIMENTAÇÃO EM TSD</v>
      </c>
      <c r="C26" s="1329" t="e">
        <f t="shared" si="9"/>
        <v>#REF!</v>
      </c>
      <c r="D26" s="1329">
        <f>Resumo!E14</f>
        <v>0</v>
      </c>
      <c r="E26" s="75"/>
      <c r="F26" s="1319"/>
      <c r="G26" s="1319"/>
      <c r="H26" s="1319"/>
      <c r="I26" s="1319"/>
      <c r="J26" s="1319"/>
      <c r="K26" s="1319"/>
      <c r="L26" s="1319"/>
      <c r="M26" s="1319"/>
      <c r="N26" s="1319"/>
      <c r="O26" s="1319"/>
      <c r="P26" s="76">
        <f t="shared" si="3"/>
        <v>0</v>
      </c>
      <c r="R26" s="79"/>
    </row>
    <row r="27" spans="1:18" x14ac:dyDescent="0.2">
      <c r="A27" s="1331"/>
      <c r="B27" s="1328"/>
      <c r="C27" s="1329"/>
      <c r="D27" s="1329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6">
        <f t="shared" si="3"/>
        <v>0</v>
      </c>
      <c r="R27" s="79"/>
    </row>
    <row r="28" spans="1:18" x14ac:dyDescent="0.2">
      <c r="A28" s="1331" t="str">
        <f>Resumo!A15</f>
        <v>3.1</v>
      </c>
      <c r="B28" s="1328" t="str">
        <f>Resumo!B15</f>
        <v>TERRAPLENAGEM</v>
      </c>
      <c r="C28" s="1329" t="e">
        <f t="shared" ref="C28" si="10">(D28/$D$38)*100</f>
        <v>#REF!</v>
      </c>
      <c r="D28" s="1329">
        <f>Resumo!E15</f>
        <v>5623.57</v>
      </c>
      <c r="E28" s="75" t="s">
        <v>15</v>
      </c>
      <c r="F28" s="1319">
        <v>0</v>
      </c>
      <c r="G28" s="1319"/>
      <c r="H28" s="1319">
        <v>25</v>
      </c>
      <c r="I28" s="1319"/>
      <c r="J28" s="1319">
        <v>25</v>
      </c>
      <c r="K28" s="1319"/>
      <c r="L28" s="1319">
        <v>25</v>
      </c>
      <c r="M28" s="1319"/>
      <c r="N28" s="1319">
        <v>25</v>
      </c>
      <c r="O28" s="1319"/>
      <c r="P28" s="76">
        <f t="shared" si="3"/>
        <v>100</v>
      </c>
      <c r="R28" s="79"/>
    </row>
    <row r="29" spans="1:18" x14ac:dyDescent="0.2">
      <c r="A29" s="1331"/>
      <c r="B29" s="1328"/>
      <c r="C29" s="1329"/>
      <c r="D29" s="1329"/>
      <c r="E29" s="77" t="s">
        <v>291</v>
      </c>
      <c r="F29" s="78" t="e">
        <f>($D$28*F28/100)*$G$57</f>
        <v>#REF!</v>
      </c>
      <c r="G29" s="78" t="e">
        <f>D28*F28/100*$H$57</f>
        <v>#REF!</v>
      </c>
      <c r="H29" s="78" t="e">
        <f>D28*H28/100*$G$57</f>
        <v>#REF!</v>
      </c>
      <c r="I29" s="78" t="e">
        <f>D28*H28/100*$H$57</f>
        <v>#REF!</v>
      </c>
      <c r="J29" s="78" t="e">
        <f>D28*J28/100*$G$57</f>
        <v>#REF!</v>
      </c>
      <c r="K29" s="78" t="e">
        <f>D28*J28/100*$H$57</f>
        <v>#REF!</v>
      </c>
      <c r="L29" s="78" t="e">
        <f>D28*L28/100*$G$57</f>
        <v>#REF!</v>
      </c>
      <c r="M29" s="78" t="e">
        <f>D28*L28/100*$H$57</f>
        <v>#REF!</v>
      </c>
      <c r="N29" s="78" t="e">
        <f>D28*N28/100*$G$57</f>
        <v>#REF!</v>
      </c>
      <c r="O29" s="78" t="e">
        <f>D28*N28/100*$H$57-0.01</f>
        <v>#REF!</v>
      </c>
      <c r="P29" s="76" t="e">
        <f t="shared" si="3"/>
        <v>#REF!</v>
      </c>
      <c r="R29" s="79" t="e">
        <f>D28-P29</f>
        <v>#REF!</v>
      </c>
    </row>
    <row r="30" spans="1:18" x14ac:dyDescent="0.2">
      <c r="A30" s="1331" t="str">
        <f>Resumo!A16</f>
        <v>3.2</v>
      </c>
      <c r="B30" s="1328" t="str">
        <f>Resumo!B16</f>
        <v>PAVIMENTAÇÃO</v>
      </c>
      <c r="C30" s="1329" t="e">
        <f t="shared" ref="C30" si="11">(D30/$D$38)*100</f>
        <v>#REF!</v>
      </c>
      <c r="D30" s="1329">
        <f>Resumo!E16</f>
        <v>238933.16</v>
      </c>
      <c r="E30" s="75"/>
      <c r="F30" s="1319">
        <v>0</v>
      </c>
      <c r="G30" s="1319"/>
      <c r="H30" s="1319">
        <v>25</v>
      </c>
      <c r="I30" s="1319"/>
      <c r="J30" s="1319">
        <v>25</v>
      </c>
      <c r="K30" s="1319"/>
      <c r="L30" s="1319">
        <v>25</v>
      </c>
      <c r="M30" s="1319"/>
      <c r="N30" s="1319">
        <v>25</v>
      </c>
      <c r="O30" s="1319"/>
      <c r="P30" s="76">
        <f t="shared" si="3"/>
        <v>100</v>
      </c>
      <c r="R30" s="79"/>
    </row>
    <row r="31" spans="1:18" x14ac:dyDescent="0.2">
      <c r="A31" s="1331"/>
      <c r="B31" s="1328"/>
      <c r="C31" s="1329"/>
      <c r="D31" s="1329"/>
      <c r="E31" s="77"/>
      <c r="F31" s="78" t="e">
        <f>($D$30*F30/100)*$G$57</f>
        <v>#REF!</v>
      </c>
      <c r="G31" s="78" t="e">
        <f>D30*F30/100*$H$57</f>
        <v>#REF!</v>
      </c>
      <c r="H31" s="78" t="e">
        <f>D30*H30/100*$G$57</f>
        <v>#REF!</v>
      </c>
      <c r="I31" s="78" t="e">
        <f>D30*H30/100*$H$57</f>
        <v>#REF!</v>
      </c>
      <c r="J31" s="78" t="e">
        <f>D30*J30/100*$G$57</f>
        <v>#REF!</v>
      </c>
      <c r="K31" s="78" t="e">
        <f>D30*J30/100*$H$57</f>
        <v>#REF!</v>
      </c>
      <c r="L31" s="78" t="e">
        <f>D30*L30/100*$G$57</f>
        <v>#REF!</v>
      </c>
      <c r="M31" s="78" t="e">
        <f>D30*L30/100*$H$57</f>
        <v>#REF!</v>
      </c>
      <c r="N31" s="78" t="e">
        <f>D30*N30/100*$G$57</f>
        <v>#REF!</v>
      </c>
      <c r="O31" s="78" t="e">
        <f>D30*N30/100*$H$57+0.02</f>
        <v>#REF!</v>
      </c>
      <c r="P31" s="76" t="e">
        <f t="shared" si="3"/>
        <v>#REF!</v>
      </c>
      <c r="R31" s="79" t="e">
        <f>D30-P31</f>
        <v>#REF!</v>
      </c>
    </row>
    <row r="32" spans="1:18" x14ac:dyDescent="0.2">
      <c r="A32" s="1331" t="str">
        <f>Resumo!A17</f>
        <v>3.3</v>
      </c>
      <c r="B32" s="1328" t="str">
        <f>Resumo!B17</f>
        <v>OBRAS COMPLEMENTARES</v>
      </c>
      <c r="C32" s="1329" t="e">
        <f t="shared" ref="C32" si="12">(D32/$D$38)*100</f>
        <v>#REF!</v>
      </c>
      <c r="D32" s="1329">
        <f>Resumo!E17</f>
        <v>98999.79</v>
      </c>
      <c r="E32" s="75" t="s">
        <v>15</v>
      </c>
      <c r="F32" s="1319">
        <v>0</v>
      </c>
      <c r="G32" s="1319"/>
      <c r="H32" s="1319">
        <v>25</v>
      </c>
      <c r="I32" s="1319"/>
      <c r="J32" s="1319">
        <v>25</v>
      </c>
      <c r="K32" s="1319"/>
      <c r="L32" s="1319">
        <v>25</v>
      </c>
      <c r="M32" s="1319"/>
      <c r="N32" s="1319">
        <v>25</v>
      </c>
      <c r="O32" s="1319"/>
      <c r="P32" s="76">
        <f t="shared" si="3"/>
        <v>100</v>
      </c>
      <c r="R32" s="79"/>
    </row>
    <row r="33" spans="1:18" x14ac:dyDescent="0.2">
      <c r="A33" s="1331"/>
      <c r="B33" s="1328"/>
      <c r="C33" s="1329"/>
      <c r="D33" s="1329"/>
      <c r="E33" s="77" t="s">
        <v>291</v>
      </c>
      <c r="F33" s="78" t="e">
        <f>($D$32*F32/100)*$G$57</f>
        <v>#REF!</v>
      </c>
      <c r="G33" s="78" t="e">
        <f>D32*F32/100*$H$57</f>
        <v>#REF!</v>
      </c>
      <c r="H33" s="78" t="e">
        <f>D32*H32/100*$G$57</f>
        <v>#REF!</v>
      </c>
      <c r="I33" s="78" t="e">
        <f>D32*H32/100*$H$57</f>
        <v>#REF!</v>
      </c>
      <c r="J33" s="78" t="e">
        <f>D32*J32/100*$G$57</f>
        <v>#REF!</v>
      </c>
      <c r="K33" s="78" t="e">
        <f>D32*J32/100*$H$57</f>
        <v>#REF!</v>
      </c>
      <c r="L33" s="78" t="e">
        <f>D32*L32/100*$G$57</f>
        <v>#REF!</v>
      </c>
      <c r="M33" s="78" t="e">
        <f>D32*L32/100*$H$57</f>
        <v>#REF!</v>
      </c>
      <c r="N33" s="78" t="e">
        <f>D32*N32/100*$G$57</f>
        <v>#REF!</v>
      </c>
      <c r="O33" s="78" t="e">
        <f>D32*N32/100*$H$57-0.03</f>
        <v>#REF!</v>
      </c>
      <c r="P33" s="76" t="e">
        <f t="shared" si="3"/>
        <v>#REF!</v>
      </c>
      <c r="R33" s="79" t="e">
        <f>D32-P33</f>
        <v>#REF!</v>
      </c>
    </row>
    <row r="34" spans="1:18" x14ac:dyDescent="0.2">
      <c r="A34" s="1331" t="str">
        <f>Resumo!A18</f>
        <v>3.4</v>
      </c>
      <c r="B34" s="1328" t="str">
        <f>Resumo!B18</f>
        <v>SINALIZAÇÃO VIÁRIA</v>
      </c>
      <c r="C34" s="1329" t="e">
        <f t="shared" ref="C34" si="13">(D34/$D$38)*100</f>
        <v>#REF!</v>
      </c>
      <c r="D34" s="1329">
        <f>Resumo!E18</f>
        <v>47628.47</v>
      </c>
      <c r="E34" s="75" t="s">
        <v>15</v>
      </c>
      <c r="F34" s="1319">
        <v>0</v>
      </c>
      <c r="G34" s="1319"/>
      <c r="H34" s="1319">
        <v>0</v>
      </c>
      <c r="I34" s="1319"/>
      <c r="J34" s="1319">
        <v>0</v>
      </c>
      <c r="K34" s="1319"/>
      <c r="L34" s="1319">
        <v>0</v>
      </c>
      <c r="M34" s="1319"/>
      <c r="N34" s="1319">
        <v>100</v>
      </c>
      <c r="O34" s="1319"/>
      <c r="P34" s="76">
        <f t="shared" si="3"/>
        <v>100</v>
      </c>
      <c r="R34" s="79"/>
    </row>
    <row r="35" spans="1:18" x14ac:dyDescent="0.2">
      <c r="A35" s="1331"/>
      <c r="B35" s="1328"/>
      <c r="C35" s="1329"/>
      <c r="D35" s="1329"/>
      <c r="E35" s="77" t="s">
        <v>291</v>
      </c>
      <c r="F35" s="78" t="e">
        <f>($D$34*F34/100)*$G$57</f>
        <v>#REF!</v>
      </c>
      <c r="G35" s="78" t="e">
        <f>D34*F34/100*$H$57</f>
        <v>#REF!</v>
      </c>
      <c r="H35" s="78" t="e">
        <f>D34*H34/100*$G$57</f>
        <v>#REF!</v>
      </c>
      <c r="I35" s="78" t="e">
        <f>D34*H34/100*$H$57</f>
        <v>#REF!</v>
      </c>
      <c r="J35" s="78" t="e">
        <f>D34*J34/100*$G$57</f>
        <v>#REF!</v>
      </c>
      <c r="K35" s="78" t="e">
        <f>D34*J34/100*$H$57</f>
        <v>#REF!</v>
      </c>
      <c r="L35" s="78" t="e">
        <f>D34*L34/100*$G$57</f>
        <v>#REF!</v>
      </c>
      <c r="M35" s="78" t="e">
        <f>D34*L34/100*$H$57</f>
        <v>#REF!</v>
      </c>
      <c r="N35" s="78" t="e">
        <f>D34*N34/100*$G$57</f>
        <v>#REF!</v>
      </c>
      <c r="O35" s="78" t="e">
        <f>D34*N34/100*$H$57</f>
        <v>#REF!</v>
      </c>
      <c r="P35" s="76" t="e">
        <f t="shared" si="3"/>
        <v>#REF!</v>
      </c>
      <c r="R35" s="79" t="e">
        <f>D34-P35</f>
        <v>#REF!</v>
      </c>
    </row>
    <row r="36" spans="1:18" x14ac:dyDescent="0.2">
      <c r="A36" s="1327"/>
      <c r="B36" s="1328"/>
      <c r="C36" s="1329"/>
      <c r="D36" s="1329"/>
      <c r="E36" s="75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76"/>
    </row>
    <row r="37" spans="1:18" x14ac:dyDescent="0.2">
      <c r="A37" s="1327"/>
      <c r="B37" s="1328"/>
      <c r="C37" s="1329"/>
      <c r="D37" s="1329"/>
      <c r="E37" s="77"/>
      <c r="F37" s="1318"/>
      <c r="G37" s="1318"/>
      <c r="H37" s="1318"/>
      <c r="I37" s="1318"/>
      <c r="J37" s="1318"/>
      <c r="K37" s="1318"/>
      <c r="L37" s="1318"/>
      <c r="M37" s="1318"/>
      <c r="N37" s="1318"/>
      <c r="O37" s="1318"/>
      <c r="P37" s="76"/>
    </row>
    <row r="38" spans="1:18" x14ac:dyDescent="0.2">
      <c r="A38" s="80" t="s">
        <v>292</v>
      </c>
      <c r="B38" s="81"/>
      <c r="C38" s="1330" t="e">
        <f>SUM(C10:C37)</f>
        <v>#REF!</v>
      </c>
      <c r="D38" s="1330" t="e">
        <f>SUM(D10:D37)</f>
        <v>#REF!</v>
      </c>
      <c r="E38" s="82" t="s">
        <v>293</v>
      </c>
      <c r="F38" s="78" t="e">
        <f t="shared" ref="F38:O38" si="14">F35+F33+F31+F29+F27+F25+F23+F21+F19+F17+F15+F13+F11</f>
        <v>#REF!</v>
      </c>
      <c r="G38" s="78" t="e">
        <f t="shared" si="14"/>
        <v>#REF!</v>
      </c>
      <c r="H38" s="78" t="e">
        <f t="shared" si="14"/>
        <v>#REF!</v>
      </c>
      <c r="I38" s="78" t="e">
        <f t="shared" si="14"/>
        <v>#REF!</v>
      </c>
      <c r="J38" s="78" t="e">
        <f t="shared" si="14"/>
        <v>#REF!</v>
      </c>
      <c r="K38" s="78" t="e">
        <f t="shared" si="14"/>
        <v>#REF!</v>
      </c>
      <c r="L38" s="78" t="e">
        <f t="shared" si="14"/>
        <v>#REF!</v>
      </c>
      <c r="M38" s="78" t="e">
        <f t="shared" si="14"/>
        <v>#REF!</v>
      </c>
      <c r="N38" s="78" t="e">
        <f t="shared" si="14"/>
        <v>#REF!</v>
      </c>
      <c r="O38" s="78" t="e">
        <f t="shared" si="14"/>
        <v>#REF!</v>
      </c>
      <c r="P38" s="1322" t="e">
        <f>+P35+P33+P31+P29+P27+P25+P23+P21+P19+P17+P15+P13+P11</f>
        <v>#REF!</v>
      </c>
    </row>
    <row r="39" spans="1:18" x14ac:dyDescent="0.2">
      <c r="A39" s="80" t="s">
        <v>294</v>
      </c>
      <c r="B39" s="81"/>
      <c r="C39" s="1330"/>
      <c r="D39" s="1330"/>
      <c r="E39" s="82" t="s">
        <v>295</v>
      </c>
      <c r="F39" s="78" t="e">
        <f>F38</f>
        <v>#REF!</v>
      </c>
      <c r="G39" s="78" t="e">
        <f>G38</f>
        <v>#REF!</v>
      </c>
      <c r="H39" s="78" t="e">
        <f>H38+F39</f>
        <v>#REF!</v>
      </c>
      <c r="I39" s="78" t="e">
        <f>G39+I38</f>
        <v>#REF!</v>
      </c>
      <c r="J39" s="78" t="e">
        <f>J38+H39</f>
        <v>#REF!</v>
      </c>
      <c r="K39" s="78" t="e">
        <f>I39+K38</f>
        <v>#REF!</v>
      </c>
      <c r="L39" s="78" t="e">
        <f>L38+J39</f>
        <v>#REF!</v>
      </c>
      <c r="M39" s="78" t="e">
        <f>K39+M38</f>
        <v>#REF!</v>
      </c>
      <c r="N39" s="78" t="e">
        <f>N38+L39</f>
        <v>#REF!</v>
      </c>
      <c r="O39" s="78" t="e">
        <f>M39+O38</f>
        <v>#REF!</v>
      </c>
      <c r="P39" s="1323"/>
    </row>
    <row r="40" spans="1:18" x14ac:dyDescent="0.2">
      <c r="A40" s="83"/>
      <c r="B40" s="84"/>
      <c r="C40" s="78"/>
      <c r="D40" s="78"/>
      <c r="E40" s="85"/>
      <c r="F40" s="1324" t="e">
        <f>F38+G38</f>
        <v>#REF!</v>
      </c>
      <c r="G40" s="1325"/>
      <c r="H40" s="1324" t="e">
        <f>H38+I38</f>
        <v>#REF!</v>
      </c>
      <c r="I40" s="1325"/>
      <c r="J40" s="1324" t="e">
        <f>J38+K38</f>
        <v>#REF!</v>
      </c>
      <c r="K40" s="1325"/>
      <c r="L40" s="1324" t="e">
        <f>L38+M38</f>
        <v>#REF!</v>
      </c>
      <c r="M40" s="1325"/>
      <c r="N40" s="1324" t="e">
        <f>N38+O38</f>
        <v>#REF!</v>
      </c>
      <c r="O40" s="1325"/>
      <c r="P40" s="1320" t="e">
        <f>+N40+L40+J40+H40+F40</f>
        <v>#REF!</v>
      </c>
    </row>
    <row r="41" spans="1:18" ht="13.5" thickBot="1" x14ac:dyDescent="0.25">
      <c r="A41" s="86"/>
      <c r="B41" s="87"/>
      <c r="C41" s="88"/>
      <c r="D41" s="89"/>
      <c r="E41" s="90"/>
      <c r="F41" s="1326"/>
      <c r="G41" s="1326"/>
      <c r="H41" s="1326"/>
      <c r="I41" s="1326"/>
      <c r="J41" s="1326"/>
      <c r="K41" s="1326"/>
      <c r="L41" s="1326"/>
      <c r="M41" s="1326"/>
      <c r="N41" s="1326"/>
      <c r="O41" s="1326"/>
      <c r="P41" s="1321"/>
    </row>
    <row r="42" spans="1:18" x14ac:dyDescent="0.2">
      <c r="D42" s="58"/>
    </row>
    <row r="43" spans="1:18" x14ac:dyDescent="0.2">
      <c r="M43" s="91"/>
    </row>
    <row r="44" spans="1:18" ht="14.25" x14ac:dyDescent="0.2">
      <c r="B44" s="18" t="str">
        <f>Resumo!B26</f>
        <v xml:space="preserve">  </v>
      </c>
      <c r="G44" s="95"/>
      <c r="H44" s="95"/>
      <c r="L44" s="92"/>
      <c r="M44" s="92"/>
      <c r="P44" s="93"/>
    </row>
    <row r="45" spans="1:18" ht="15" x14ac:dyDescent="0.25">
      <c r="B45" s="10" t="str">
        <f>Resumo!B27</f>
        <v xml:space="preserve">   </v>
      </c>
      <c r="L45" s="94"/>
      <c r="M45" s="94"/>
    </row>
    <row r="46" spans="1:18" x14ac:dyDescent="0.2">
      <c r="O46" s="79"/>
    </row>
    <row r="47" spans="1:18" x14ac:dyDescent="0.2">
      <c r="G47" s="95"/>
      <c r="H47" s="95"/>
    </row>
    <row r="50" spans="7:10" x14ac:dyDescent="0.2">
      <c r="J50" s="91"/>
    </row>
    <row r="51" spans="7:10" x14ac:dyDescent="0.2">
      <c r="H51" s="95"/>
    </row>
    <row r="56" spans="7:10" x14ac:dyDescent="0.2">
      <c r="G56" s="96" t="e">
        <f>I56-H56</f>
        <v>#REF!</v>
      </c>
      <c r="H56" s="96">
        <v>263157.90000000002</v>
      </c>
      <c r="I56" s="96" t="e">
        <f>D38</f>
        <v>#REF!</v>
      </c>
    </row>
    <row r="57" spans="7:10" x14ac:dyDescent="0.2">
      <c r="G57" s="97" t="e">
        <f>1-H57</f>
        <v>#REF!</v>
      </c>
      <c r="H57" s="97" t="e">
        <f>H56/I56</f>
        <v>#REF!</v>
      </c>
      <c r="I57" s="97" t="e">
        <f>SUM(G57:H57)</f>
        <v>#REF!</v>
      </c>
    </row>
  </sheetData>
  <mergeCells count="150">
    <mergeCell ref="A7:A8"/>
    <mergeCell ref="B7:B8"/>
    <mergeCell ref="C7:C8"/>
    <mergeCell ref="F8:G8"/>
    <mergeCell ref="H8:I8"/>
    <mergeCell ref="J8:K8"/>
    <mergeCell ref="L8:M8"/>
    <mergeCell ref="N8:O8"/>
    <mergeCell ref="F7:K7"/>
    <mergeCell ref="L7:O7"/>
    <mergeCell ref="L12:M12"/>
    <mergeCell ref="N12:O12"/>
    <mergeCell ref="C10:C11"/>
    <mergeCell ref="D10:D11"/>
    <mergeCell ref="F10:G10"/>
    <mergeCell ref="H10:I10"/>
    <mergeCell ref="J10:K10"/>
    <mergeCell ref="A12:A13"/>
    <mergeCell ref="B12:B13"/>
    <mergeCell ref="C12:C13"/>
    <mergeCell ref="D12:D13"/>
    <mergeCell ref="F12:G12"/>
    <mergeCell ref="H12:I12"/>
    <mergeCell ref="J12:K12"/>
    <mergeCell ref="L10:M10"/>
    <mergeCell ref="N10:O10"/>
    <mergeCell ref="A10:A11"/>
    <mergeCell ref="B10:B11"/>
    <mergeCell ref="L14:M14"/>
    <mergeCell ref="N14:O14"/>
    <mergeCell ref="A14:A15"/>
    <mergeCell ref="B14:B15"/>
    <mergeCell ref="C14:C15"/>
    <mergeCell ref="D14:D15"/>
    <mergeCell ref="F14:G14"/>
    <mergeCell ref="H14:I14"/>
    <mergeCell ref="J14:K14"/>
    <mergeCell ref="L16:M16"/>
    <mergeCell ref="N16:O16"/>
    <mergeCell ref="L20:M20"/>
    <mergeCell ref="N20:O20"/>
    <mergeCell ref="A16:A17"/>
    <mergeCell ref="B16:B17"/>
    <mergeCell ref="C16:C17"/>
    <mergeCell ref="D16:D17"/>
    <mergeCell ref="F16:G16"/>
    <mergeCell ref="H16:I16"/>
    <mergeCell ref="J16:K16"/>
    <mergeCell ref="A20:A21"/>
    <mergeCell ref="B20:B21"/>
    <mergeCell ref="C20:C21"/>
    <mergeCell ref="D20:D21"/>
    <mergeCell ref="F20:G20"/>
    <mergeCell ref="H20:I20"/>
    <mergeCell ref="J20:K20"/>
    <mergeCell ref="L18:M18"/>
    <mergeCell ref="N18:O18"/>
    <mergeCell ref="A18:A19"/>
    <mergeCell ref="B18:B19"/>
    <mergeCell ref="C18:C19"/>
    <mergeCell ref="D18:D19"/>
    <mergeCell ref="F18:G18"/>
    <mergeCell ref="H18:I18"/>
    <mergeCell ref="J18:K18"/>
    <mergeCell ref="L22:M22"/>
    <mergeCell ref="N22:O22"/>
    <mergeCell ref="A22:A23"/>
    <mergeCell ref="B22:B23"/>
    <mergeCell ref="L24:M24"/>
    <mergeCell ref="N24:O24"/>
    <mergeCell ref="C22:C23"/>
    <mergeCell ref="D22:D23"/>
    <mergeCell ref="F22:G22"/>
    <mergeCell ref="H22:I22"/>
    <mergeCell ref="J22:K22"/>
    <mergeCell ref="H32:I32"/>
    <mergeCell ref="J32:K32"/>
    <mergeCell ref="L32:M32"/>
    <mergeCell ref="A24:A25"/>
    <mergeCell ref="B24:B25"/>
    <mergeCell ref="C24:C25"/>
    <mergeCell ref="D24:D25"/>
    <mergeCell ref="F24:G24"/>
    <mergeCell ref="H24:I24"/>
    <mergeCell ref="J24:K24"/>
    <mergeCell ref="N28:O28"/>
    <mergeCell ref="A28:A29"/>
    <mergeCell ref="B28:B29"/>
    <mergeCell ref="C28:C29"/>
    <mergeCell ref="D28:D29"/>
    <mergeCell ref="F28:G28"/>
    <mergeCell ref="H28:I28"/>
    <mergeCell ref="J28:K28"/>
    <mergeCell ref="L26:M26"/>
    <mergeCell ref="N26:O26"/>
    <mergeCell ref="A26:A27"/>
    <mergeCell ref="B26:B27"/>
    <mergeCell ref="C26:C27"/>
    <mergeCell ref="D26:D27"/>
    <mergeCell ref="F26:G26"/>
    <mergeCell ref="H26:I26"/>
    <mergeCell ref="J26:K26"/>
    <mergeCell ref="L28:M28"/>
    <mergeCell ref="N32:O32"/>
    <mergeCell ref="A30:A31"/>
    <mergeCell ref="B30:B31"/>
    <mergeCell ref="C30:C31"/>
    <mergeCell ref="A34:A35"/>
    <mergeCell ref="B34:B35"/>
    <mergeCell ref="C34:C35"/>
    <mergeCell ref="D34:D35"/>
    <mergeCell ref="F34:G34"/>
    <mergeCell ref="H34:I34"/>
    <mergeCell ref="D30:D31"/>
    <mergeCell ref="F30:G30"/>
    <mergeCell ref="H30:I30"/>
    <mergeCell ref="J30:K30"/>
    <mergeCell ref="L34:M34"/>
    <mergeCell ref="N34:O34"/>
    <mergeCell ref="L30:M30"/>
    <mergeCell ref="N30:O30"/>
    <mergeCell ref="J34:K34"/>
    <mergeCell ref="A32:A33"/>
    <mergeCell ref="B32:B33"/>
    <mergeCell ref="C32:C33"/>
    <mergeCell ref="D32:D33"/>
    <mergeCell ref="F32:G32"/>
    <mergeCell ref="A36:A37"/>
    <mergeCell ref="B36:B37"/>
    <mergeCell ref="C36:C37"/>
    <mergeCell ref="D36:D37"/>
    <mergeCell ref="F36:G36"/>
    <mergeCell ref="H36:I36"/>
    <mergeCell ref="C38:C39"/>
    <mergeCell ref="D38:D39"/>
    <mergeCell ref="F37:G37"/>
    <mergeCell ref="H37:I37"/>
    <mergeCell ref="J37:K37"/>
    <mergeCell ref="L37:M37"/>
    <mergeCell ref="N37:O37"/>
    <mergeCell ref="L36:M36"/>
    <mergeCell ref="N36:O36"/>
    <mergeCell ref="J36:K36"/>
    <mergeCell ref="P40:P41"/>
    <mergeCell ref="P38:P39"/>
    <mergeCell ref="F40:G41"/>
    <mergeCell ref="H40:I41"/>
    <mergeCell ref="J40:K41"/>
    <mergeCell ref="L40:M41"/>
    <mergeCell ref="N40:O41"/>
  </mergeCells>
  <pageMargins left="0.51181102362204722" right="0.51181102362204722" top="0.78740157480314965" bottom="0.78740157480314965" header="0.31496062992125984" footer="0.31496062992125984"/>
  <pageSetup paperSize="9" scale="76" orientation="landscape" r:id="rId1"/>
  <colBreaks count="2" manualBreakCount="2">
    <brk id="11" max="49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Normal="100" zoomScaleSheetLayoutView="100" workbookViewId="0">
      <selection activeCell="L5" sqref="L5"/>
    </sheetView>
  </sheetViews>
  <sheetFormatPr defaultRowHeight="12.75" x14ac:dyDescent="0.2"/>
  <cols>
    <col min="1" max="1" width="12.140625" style="330" customWidth="1"/>
    <col min="2" max="2" width="51.28515625" style="330" bestFit="1" customWidth="1"/>
    <col min="3" max="3" width="11.140625" style="330" customWidth="1"/>
    <col min="4" max="4" width="12.140625" style="330" bestFit="1" customWidth="1"/>
    <col min="5" max="5" width="11.42578125" style="330" bestFit="1" customWidth="1"/>
    <col min="6" max="6" width="9.140625" style="355"/>
    <col min="7" max="7" width="9.140625" style="330"/>
    <col min="8" max="8" width="16.42578125" style="330" bestFit="1" customWidth="1"/>
    <col min="9" max="9" width="17" style="330" customWidth="1"/>
    <col min="10" max="10" width="14.5703125" style="330" bestFit="1" customWidth="1"/>
    <col min="11" max="11" width="9.140625" style="330"/>
    <col min="12" max="12" width="12.85546875" style="330" bestFit="1" customWidth="1"/>
    <col min="13" max="13" width="11.7109375" style="330" bestFit="1" customWidth="1"/>
    <col min="14" max="16384" width="9.140625" style="330"/>
  </cols>
  <sheetData>
    <row r="1" spans="1:13" ht="48.75" customHeight="1" x14ac:dyDescent="0.2">
      <c r="A1" s="944"/>
      <c r="B1" s="945"/>
      <c r="C1" s="871" t="s">
        <v>56</v>
      </c>
      <c r="D1" s="871"/>
      <c r="E1" s="871"/>
      <c r="F1" s="871"/>
      <c r="G1" s="871"/>
      <c r="H1" s="871"/>
      <c r="I1" s="871"/>
      <c r="J1" s="872"/>
    </row>
    <row r="2" spans="1:13" ht="52.5" customHeight="1" x14ac:dyDescent="0.2">
      <c r="A2" s="946"/>
      <c r="B2" s="947"/>
      <c r="C2" s="874" t="s">
        <v>465</v>
      </c>
      <c r="D2" s="874"/>
      <c r="E2" s="874"/>
      <c r="F2" s="874"/>
      <c r="G2" s="874"/>
      <c r="H2" s="874"/>
      <c r="I2" s="874"/>
      <c r="J2" s="875"/>
    </row>
    <row r="3" spans="1:13" s="469" customFormat="1" ht="15" x14ac:dyDescent="0.2">
      <c r="A3" s="459" t="s">
        <v>57</v>
      </c>
      <c r="B3" s="876" t="s">
        <v>535</v>
      </c>
      <c r="C3" s="876"/>
      <c r="D3" s="876"/>
      <c r="E3" s="876"/>
      <c r="F3" s="876"/>
      <c r="G3" s="876"/>
      <c r="H3" s="876"/>
      <c r="I3" s="876"/>
      <c r="J3" s="877"/>
    </row>
    <row r="4" spans="1:13" s="469" customFormat="1" ht="15" x14ac:dyDescent="0.2">
      <c r="A4" s="459" t="s">
        <v>58</v>
      </c>
      <c r="B4" s="876" t="s">
        <v>536</v>
      </c>
      <c r="C4" s="876"/>
      <c r="D4" s="876"/>
      <c r="E4" s="876"/>
      <c r="F4" s="876"/>
      <c r="G4" s="876"/>
      <c r="H4" s="876"/>
      <c r="I4" s="952" t="s">
        <v>613</v>
      </c>
      <c r="J4" s="953"/>
    </row>
    <row r="5" spans="1:13" s="469" customFormat="1" ht="18.75" customHeight="1" x14ac:dyDescent="0.2">
      <c r="A5" s="459" t="s">
        <v>59</v>
      </c>
      <c r="B5" s="951" t="str">
        <f>C2</f>
        <v>PREFEITURA MUNICIPAL DE JACIARA</v>
      </c>
      <c r="C5" s="951"/>
      <c r="D5" s="951"/>
      <c r="E5" s="464" t="s">
        <v>455</v>
      </c>
      <c r="F5" s="950" t="s">
        <v>614</v>
      </c>
      <c r="G5" s="950"/>
      <c r="H5" s="950"/>
      <c r="I5" s="952"/>
      <c r="J5" s="953"/>
    </row>
    <row r="6" spans="1:13" s="469" customFormat="1" ht="19.5" customHeight="1" thickBot="1" x14ac:dyDescent="0.25">
      <c r="A6" s="465" t="s">
        <v>499</v>
      </c>
      <c r="B6" s="879">
        <f>C14</f>
        <v>4044.58</v>
      </c>
      <c r="C6" s="879"/>
      <c r="D6" s="879"/>
      <c r="E6" s="466" t="s">
        <v>61</v>
      </c>
      <c r="F6" s="948">
        <f>BDI!F18</f>
        <v>0.26019999999999999</v>
      </c>
      <c r="G6" s="949"/>
      <c r="H6" s="466" t="s">
        <v>62</v>
      </c>
      <c r="I6" s="954"/>
      <c r="J6" s="955"/>
    </row>
    <row r="7" spans="1:13" ht="21.75" customHeight="1" thickBot="1" x14ac:dyDescent="0.25">
      <c r="A7" s="933" t="s">
        <v>260</v>
      </c>
      <c r="B7" s="934"/>
      <c r="C7" s="934"/>
      <c r="D7" s="934"/>
      <c r="E7" s="934"/>
      <c r="F7" s="934"/>
      <c r="G7" s="934"/>
      <c r="H7" s="934"/>
      <c r="I7" s="934"/>
      <c r="J7" s="935"/>
    </row>
    <row r="8" spans="1:13" ht="14.25" x14ac:dyDescent="0.2">
      <c r="A8" s="936" t="s">
        <v>63</v>
      </c>
      <c r="B8" s="938" t="s">
        <v>64</v>
      </c>
      <c r="C8" s="938" t="s">
        <v>466</v>
      </c>
      <c r="D8" s="938" t="s">
        <v>500</v>
      </c>
      <c r="E8" s="938" t="s">
        <v>501</v>
      </c>
      <c r="F8" s="938" t="s">
        <v>68</v>
      </c>
      <c r="G8" s="938"/>
      <c r="H8" s="938"/>
      <c r="I8" s="938"/>
      <c r="J8" s="940" t="s">
        <v>69</v>
      </c>
    </row>
    <row r="9" spans="1:13" ht="28.5" x14ac:dyDescent="0.2">
      <c r="A9" s="937"/>
      <c r="B9" s="939"/>
      <c r="C9" s="939"/>
      <c r="D9" s="939"/>
      <c r="E9" s="939"/>
      <c r="F9" s="556" t="s">
        <v>70</v>
      </c>
      <c r="G9" s="556" t="s">
        <v>71</v>
      </c>
      <c r="H9" s="556" t="s">
        <v>72</v>
      </c>
      <c r="I9" s="556" t="s">
        <v>69</v>
      </c>
      <c r="J9" s="941"/>
    </row>
    <row r="10" spans="1:13" ht="14.25" x14ac:dyDescent="0.2">
      <c r="A10" s="937" t="s">
        <v>472</v>
      </c>
      <c r="B10" s="939"/>
      <c r="C10" s="939"/>
      <c r="D10" s="939"/>
      <c r="E10" s="939"/>
      <c r="F10" s="939"/>
      <c r="G10" s="939"/>
      <c r="H10" s="939"/>
      <c r="I10" s="939"/>
      <c r="J10" s="941"/>
    </row>
    <row r="11" spans="1:13" ht="18.75" customHeight="1" x14ac:dyDescent="0.2">
      <c r="A11" s="661">
        <f>1</f>
        <v>1</v>
      </c>
      <c r="B11" s="571" t="s">
        <v>537</v>
      </c>
      <c r="C11" s="662">
        <f>(143.4+119.66+225.4)</f>
        <v>488.46</v>
      </c>
      <c r="D11" s="662">
        <v>7.86</v>
      </c>
      <c r="E11" s="663">
        <f t="shared" ref="E11" si="0">D11*C11</f>
        <v>3839.3</v>
      </c>
      <c r="F11" s="551" t="s">
        <v>415</v>
      </c>
      <c r="G11" s="447">
        <v>8</v>
      </c>
      <c r="H11" s="450">
        <v>25.66</v>
      </c>
      <c r="I11" s="664">
        <f>H11*G11</f>
        <v>205.28</v>
      </c>
      <c r="J11" s="665">
        <f>+I11+E11</f>
        <v>4044.58</v>
      </c>
      <c r="K11" s="331"/>
      <c r="M11" s="331"/>
    </row>
    <row r="12" spans="1:13" ht="18.75" customHeight="1" x14ac:dyDescent="0.2">
      <c r="A12" s="661"/>
      <c r="B12" s="666"/>
      <c r="C12" s="662"/>
      <c r="D12" s="662"/>
      <c r="E12" s="663"/>
      <c r="F12" s="551"/>
      <c r="G12" s="447"/>
      <c r="H12" s="450"/>
      <c r="I12" s="664"/>
      <c r="J12" s="665"/>
      <c r="K12" s="331"/>
      <c r="M12" s="331"/>
    </row>
    <row r="13" spans="1:13" ht="18.75" customHeight="1" x14ac:dyDescent="0.2">
      <c r="A13" s="942" t="s">
        <v>73</v>
      </c>
      <c r="B13" s="943"/>
      <c r="C13" s="449">
        <f>SUM(C11:C12)</f>
        <v>488.46</v>
      </c>
      <c r="D13" s="449"/>
      <c r="E13" s="449">
        <f>SUM(E11:E12)</f>
        <v>3839.3</v>
      </c>
      <c r="F13" s="551"/>
      <c r="G13" s="447"/>
      <c r="H13" s="551"/>
      <c r="I13" s="449">
        <f>SUM(I11:I12)</f>
        <v>205.28</v>
      </c>
      <c r="J13" s="452">
        <f>SUM(J11:J12)</f>
        <v>4044.58</v>
      </c>
      <c r="K13" s="331"/>
      <c r="M13" s="331"/>
    </row>
    <row r="14" spans="1:13" ht="18.75" customHeight="1" thickBot="1" x14ac:dyDescent="0.25">
      <c r="A14" s="929" t="s">
        <v>74</v>
      </c>
      <c r="B14" s="930"/>
      <c r="C14" s="931">
        <f>I13+E13</f>
        <v>4044.58</v>
      </c>
      <c r="D14" s="931"/>
      <c r="E14" s="931"/>
      <c r="F14" s="931"/>
      <c r="G14" s="931"/>
      <c r="H14" s="931"/>
      <c r="I14" s="931"/>
      <c r="J14" s="932"/>
      <c r="K14" s="331"/>
      <c r="M14" s="331"/>
    </row>
    <row r="15" spans="1:13" ht="54" customHeight="1" x14ac:dyDescent="0.2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331"/>
      <c r="M15" s="331"/>
    </row>
    <row r="16" spans="1:13" x14ac:dyDescent="0.2">
      <c r="B16" s="354" t="s">
        <v>512</v>
      </c>
    </row>
    <row r="17" spans="2:9" x14ac:dyDescent="0.2">
      <c r="B17" s="356" t="s">
        <v>513</v>
      </c>
    </row>
    <row r="21" spans="2:9" x14ac:dyDescent="0.2">
      <c r="I21" s="783">
        <f>Orçam.!M61</f>
        <v>-168995.37</v>
      </c>
    </row>
  </sheetData>
  <mergeCells count="22">
    <mergeCell ref="A1:B2"/>
    <mergeCell ref="C1:J1"/>
    <mergeCell ref="C2:J2"/>
    <mergeCell ref="B3:J3"/>
    <mergeCell ref="B6:D6"/>
    <mergeCell ref="F6:G6"/>
    <mergeCell ref="F5:H5"/>
    <mergeCell ref="B5:D5"/>
    <mergeCell ref="B4:H4"/>
    <mergeCell ref="I4:J6"/>
    <mergeCell ref="A14:B14"/>
    <mergeCell ref="C14:J14"/>
    <mergeCell ref="A7:J7"/>
    <mergeCell ref="A8:A9"/>
    <mergeCell ref="B8:B9"/>
    <mergeCell ref="C8:C9"/>
    <mergeCell ref="D8:D9"/>
    <mergeCell ref="E8:E9"/>
    <mergeCell ref="F8:I8"/>
    <mergeCell ref="J8:J9"/>
    <mergeCell ref="A13:B13"/>
    <mergeCell ref="A10:J10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86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SheetLayoutView="100" workbookViewId="0">
      <selection activeCell="E10" sqref="E10"/>
    </sheetView>
  </sheetViews>
  <sheetFormatPr defaultColWidth="11.42578125" defaultRowHeight="12.75" x14ac:dyDescent="0.2"/>
  <cols>
    <col min="1" max="1" width="12.85546875" style="334" customWidth="1"/>
    <col min="2" max="2" width="8" style="334" customWidth="1"/>
    <col min="3" max="3" width="8.7109375" style="334" customWidth="1"/>
    <col min="4" max="4" width="33.7109375" style="334" customWidth="1"/>
    <col min="5" max="5" width="16.7109375" style="565" customWidth="1"/>
    <col min="6" max="6" width="18.140625" style="334" customWidth="1"/>
    <col min="7" max="7" width="1.42578125" style="334" customWidth="1"/>
    <col min="8" max="8" width="16.42578125" style="334" customWidth="1"/>
    <col min="9" max="9" width="15" style="334" customWidth="1"/>
    <col min="10" max="11" width="11.5703125" style="334" customWidth="1"/>
    <col min="12" max="12" width="3.7109375" style="334" customWidth="1"/>
    <col min="13" max="13" width="15.7109375" style="334" customWidth="1"/>
    <col min="14" max="15" width="3.7109375" style="334" customWidth="1"/>
    <col min="16" max="16" width="8" style="334" bestFit="1" customWidth="1"/>
    <col min="17" max="19" width="3.7109375" style="334" customWidth="1"/>
    <col min="20" max="16384" width="11.42578125" style="334"/>
  </cols>
  <sheetData>
    <row r="1" spans="1:10" ht="48" customHeight="1" x14ac:dyDescent="0.2">
      <c r="A1" s="956"/>
      <c r="B1" s="957"/>
      <c r="C1" s="957"/>
      <c r="D1" s="957"/>
      <c r="E1" s="871" t="str">
        <f>Terrap.!C1</f>
        <v>ESTADO DE MATO GROSSO</v>
      </c>
      <c r="F1" s="871"/>
      <c r="G1" s="871"/>
      <c r="H1" s="871"/>
      <c r="I1" s="872"/>
    </row>
    <row r="2" spans="1:10" ht="48" customHeight="1" x14ac:dyDescent="0.2">
      <c r="A2" s="958"/>
      <c r="B2" s="959"/>
      <c r="C2" s="959"/>
      <c r="D2" s="959"/>
      <c r="E2" s="874" t="str">
        <f>Terrap.!C2</f>
        <v>PREFEITURA MUNICIPAL DE JACIARA</v>
      </c>
      <c r="F2" s="874"/>
      <c r="G2" s="874"/>
      <c r="H2" s="874"/>
      <c r="I2" s="875"/>
    </row>
    <row r="3" spans="1:10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7"/>
    </row>
    <row r="4" spans="1:10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979" t="s">
        <v>61</v>
      </c>
      <c r="H4" s="979"/>
      <c r="I4" s="472">
        <f>Terrap.!F6</f>
        <v>0.26019999999999999</v>
      </c>
    </row>
    <row r="5" spans="1:10" ht="19.5" customHeight="1" x14ac:dyDescent="0.2">
      <c r="A5" s="459" t="s">
        <v>59</v>
      </c>
      <c r="B5" s="876" t="str">
        <f>Terrap.!B5</f>
        <v>PREFEITURA MUNICIPAL DE JACIARA</v>
      </c>
      <c r="C5" s="876"/>
      <c r="D5" s="876"/>
      <c r="E5" s="560" t="s">
        <v>455</v>
      </c>
      <c r="F5" s="473" t="str">
        <f>Terrap.!F5</f>
        <v>FEVEREIRO 2019</v>
      </c>
      <c r="G5" s="880" t="str">
        <f>Terrap.!I4</f>
        <v>SINAPI - JANEIRO / 2019                                                                             ANP 12/2018 (com desoneração)</v>
      </c>
      <c r="H5" s="880"/>
      <c r="I5" s="881"/>
    </row>
    <row r="6" spans="1:10" ht="24" customHeight="1" thickBot="1" x14ac:dyDescent="0.25">
      <c r="A6" s="465" t="s">
        <v>60</v>
      </c>
      <c r="B6" s="879">
        <f>Terrap.!B6</f>
        <v>4044.58</v>
      </c>
      <c r="C6" s="879"/>
      <c r="D6" s="879"/>
      <c r="E6" s="879"/>
      <c r="F6" s="466" t="s">
        <v>62</v>
      </c>
      <c r="G6" s="882"/>
      <c r="H6" s="882"/>
      <c r="I6" s="883"/>
    </row>
    <row r="7" spans="1:10" ht="20.25" customHeight="1" thickBot="1" x14ac:dyDescent="0.25">
      <c r="A7" s="967" t="s">
        <v>369</v>
      </c>
      <c r="B7" s="968"/>
      <c r="C7" s="968"/>
      <c r="D7" s="968"/>
      <c r="E7" s="968"/>
      <c r="F7" s="968"/>
      <c r="G7" s="968"/>
      <c r="H7" s="968"/>
      <c r="I7" s="969"/>
    </row>
    <row r="8" spans="1:10" ht="15.75" customHeight="1" x14ac:dyDescent="0.2">
      <c r="A8" s="346"/>
      <c r="B8" s="335"/>
      <c r="C8" s="335"/>
      <c r="D8" s="335"/>
      <c r="E8" s="970" t="s">
        <v>370</v>
      </c>
      <c r="F8" s="971"/>
      <c r="H8" s="970" t="s">
        <v>371</v>
      </c>
      <c r="I8" s="972"/>
    </row>
    <row r="9" spans="1:10" ht="44.25" customHeight="1" x14ac:dyDescent="0.2">
      <c r="A9" s="973" t="s">
        <v>372</v>
      </c>
      <c r="B9" s="974"/>
      <c r="C9" s="974"/>
      <c r="D9" s="975"/>
      <c r="E9" s="561" t="s">
        <v>457</v>
      </c>
      <c r="F9" s="470" t="s">
        <v>456</v>
      </c>
      <c r="G9" s="323"/>
      <c r="H9" s="323" t="s">
        <v>374</v>
      </c>
      <c r="I9" s="639" t="s">
        <v>373</v>
      </c>
    </row>
    <row r="10" spans="1:10" ht="15" customHeight="1" x14ac:dyDescent="0.2">
      <c r="A10" s="976" t="str">
        <f>Terrap.!B11</f>
        <v>AVENIDA PRINCIPAL</v>
      </c>
      <c r="B10" s="977"/>
      <c r="C10" s="977"/>
      <c r="D10" s="978"/>
      <c r="E10" s="562">
        <f>Terrap.!E11*0.4</f>
        <v>1535.72</v>
      </c>
      <c r="F10" s="336">
        <v>0</v>
      </c>
      <c r="G10" s="336"/>
      <c r="H10" s="336">
        <f>E10</f>
        <v>1535.72</v>
      </c>
      <c r="I10" s="640">
        <f>F10</f>
        <v>0</v>
      </c>
      <c r="J10" s="337"/>
    </row>
    <row r="11" spans="1:10" ht="15" customHeight="1" x14ac:dyDescent="0.2">
      <c r="A11" s="641"/>
      <c r="B11" s="552"/>
      <c r="C11" s="552"/>
      <c r="D11" s="553"/>
      <c r="E11" s="562"/>
      <c r="F11" s="336"/>
      <c r="G11" s="336"/>
      <c r="H11" s="338"/>
      <c r="I11" s="642"/>
    </row>
    <row r="12" spans="1:10" ht="15" customHeight="1" x14ac:dyDescent="0.2">
      <c r="A12" s="976"/>
      <c r="B12" s="977"/>
      <c r="C12" s="977"/>
      <c r="D12" s="978"/>
      <c r="E12" s="563"/>
      <c r="F12" s="339"/>
      <c r="G12" s="339"/>
      <c r="H12" s="339"/>
      <c r="I12" s="643"/>
    </row>
    <row r="13" spans="1:10" ht="15" customHeight="1" x14ac:dyDescent="0.2">
      <c r="A13" s="980" t="s">
        <v>462</v>
      </c>
      <c r="B13" s="977"/>
      <c r="C13" s="977"/>
      <c r="D13" s="978"/>
      <c r="E13" s="562">
        <f>Terrap.!I13*0.4</f>
        <v>82.111999999999995</v>
      </c>
      <c r="F13" s="336">
        <v>0</v>
      </c>
      <c r="G13" s="336"/>
      <c r="H13" s="336">
        <f>E13+H10</f>
        <v>1617.8320000000001</v>
      </c>
      <c r="I13" s="640">
        <f>F13+I10</f>
        <v>0</v>
      </c>
      <c r="J13" s="337"/>
    </row>
    <row r="14" spans="1:10" ht="15" customHeight="1" x14ac:dyDescent="0.2">
      <c r="A14" s="641"/>
      <c r="B14" s="552"/>
      <c r="C14" s="552"/>
      <c r="D14" s="553"/>
      <c r="E14" s="563"/>
      <c r="F14" s="339"/>
      <c r="G14" s="339"/>
      <c r="H14" s="339"/>
      <c r="I14" s="643"/>
    </row>
    <row r="15" spans="1:10" ht="15" customHeight="1" x14ac:dyDescent="0.2">
      <c r="A15" s="964" t="s">
        <v>375</v>
      </c>
      <c r="B15" s="965"/>
      <c r="C15" s="965"/>
      <c r="D15" s="966"/>
      <c r="E15" s="564"/>
      <c r="F15" s="340"/>
      <c r="G15" s="340"/>
      <c r="H15" s="340">
        <f>H13</f>
        <v>1617.8320000000001</v>
      </c>
      <c r="I15" s="644">
        <f>I13</f>
        <v>0</v>
      </c>
    </row>
    <row r="16" spans="1:10" ht="15" customHeight="1" x14ac:dyDescent="0.2">
      <c r="A16" s="976"/>
      <c r="B16" s="977"/>
      <c r="C16" s="977"/>
      <c r="D16" s="978"/>
      <c r="E16" s="563"/>
      <c r="F16" s="339"/>
      <c r="G16" s="339"/>
      <c r="H16" s="339"/>
      <c r="I16" s="643"/>
    </row>
    <row r="17" spans="1:10" ht="13.5" thickBot="1" x14ac:dyDescent="0.25">
      <c r="A17" s="346"/>
      <c r="I17" s="645"/>
    </row>
    <row r="18" spans="1:10" ht="13.5" thickBot="1" x14ac:dyDescent="0.25">
      <c r="A18" s="341" t="s">
        <v>376</v>
      </c>
      <c r="B18" s="342"/>
      <c r="C18" s="342"/>
      <c r="D18" s="342"/>
      <c r="E18" s="566"/>
      <c r="F18" s="342"/>
      <c r="G18" s="342"/>
      <c r="H18" s="342"/>
      <c r="I18" s="646"/>
    </row>
    <row r="19" spans="1:10" x14ac:dyDescent="0.2">
      <c r="A19" s="343"/>
      <c r="B19" s="344"/>
      <c r="C19" s="344"/>
      <c r="D19" s="344"/>
      <c r="E19" s="567"/>
      <c r="F19" s="344"/>
      <c r="G19" s="344"/>
      <c r="H19" s="345"/>
      <c r="I19" s="647"/>
    </row>
    <row r="20" spans="1:10" x14ac:dyDescent="0.2">
      <c r="A20" s="346"/>
      <c r="C20" s="347"/>
      <c r="F20" s="960" t="s">
        <v>377</v>
      </c>
      <c r="G20" s="961"/>
      <c r="H20" s="324">
        <f>H15</f>
        <v>1617.8320000000001</v>
      </c>
      <c r="I20" s="648"/>
    </row>
    <row r="21" spans="1:10" x14ac:dyDescent="0.2">
      <c r="A21" s="346"/>
      <c r="C21" s="347"/>
      <c r="F21" s="960" t="s">
        <v>378</v>
      </c>
      <c r="G21" s="961"/>
      <c r="H21" s="325">
        <f>I15</f>
        <v>0</v>
      </c>
      <c r="I21" s="645"/>
    </row>
    <row r="22" spans="1:10" x14ac:dyDescent="0.2">
      <c r="A22" s="346"/>
      <c r="C22" s="347"/>
      <c r="F22" s="962" t="s">
        <v>376</v>
      </c>
      <c r="G22" s="963"/>
      <c r="H22" s="325">
        <f>H20-H21</f>
        <v>1617.8320000000001</v>
      </c>
      <c r="I22" s="649"/>
    </row>
    <row r="23" spans="1:10" x14ac:dyDescent="0.2">
      <c r="A23" s="346"/>
      <c r="C23" s="347"/>
      <c r="G23" s="348"/>
      <c r="H23" s="348"/>
      <c r="I23" s="649"/>
    </row>
    <row r="24" spans="1:10" ht="19.5" customHeight="1" thickBot="1" x14ac:dyDescent="0.25">
      <c r="A24" s="326" t="s">
        <v>379</v>
      </c>
      <c r="B24" s="327"/>
      <c r="C24" s="328"/>
      <c r="D24" s="327"/>
      <c r="E24" s="568"/>
      <c r="F24" s="327"/>
      <c r="G24" s="329"/>
      <c r="H24" s="329"/>
      <c r="I24" s="650">
        <f>H22</f>
        <v>1617.8320000000001</v>
      </c>
      <c r="J24" s="349"/>
    </row>
    <row r="25" spans="1:10" x14ac:dyDescent="0.2">
      <c r="I25" s="348"/>
    </row>
    <row r="26" spans="1:10" x14ac:dyDescent="0.2">
      <c r="I26" s="348"/>
    </row>
    <row r="27" spans="1:10" x14ac:dyDescent="0.2">
      <c r="H27" s="347"/>
      <c r="I27" s="348"/>
    </row>
    <row r="28" spans="1:10" x14ac:dyDescent="0.2">
      <c r="I28" s="350"/>
    </row>
    <row r="29" spans="1:10" x14ac:dyDescent="0.2">
      <c r="I29" s="351"/>
    </row>
    <row r="32" spans="1:10" x14ac:dyDescent="0.2">
      <c r="E32" s="569"/>
    </row>
    <row r="33" spans="5:5" x14ac:dyDescent="0.2">
      <c r="E33" s="570" t="str">
        <f>Terrap.!B16</f>
        <v xml:space="preserve">  </v>
      </c>
    </row>
    <row r="34" spans="5:5" x14ac:dyDescent="0.2">
      <c r="E34" s="569" t="str">
        <f>Terrap.!B17</f>
        <v xml:space="preserve">   </v>
      </c>
    </row>
  </sheetData>
  <mergeCells count="21">
    <mergeCell ref="F21:G21"/>
    <mergeCell ref="F22:G22"/>
    <mergeCell ref="B3:I3"/>
    <mergeCell ref="A15:D15"/>
    <mergeCell ref="A7:I7"/>
    <mergeCell ref="E8:F8"/>
    <mergeCell ref="H8:I8"/>
    <mergeCell ref="A9:D9"/>
    <mergeCell ref="A10:D10"/>
    <mergeCell ref="G5:I6"/>
    <mergeCell ref="G4:H4"/>
    <mergeCell ref="A16:D16"/>
    <mergeCell ref="F20:G20"/>
    <mergeCell ref="A13:D13"/>
    <mergeCell ref="A12:D12"/>
    <mergeCell ref="A1:D2"/>
    <mergeCell ref="E1:I1"/>
    <mergeCell ref="E2:I2"/>
    <mergeCell ref="B6:E6"/>
    <mergeCell ref="B4:F4"/>
    <mergeCell ref="B5:D5"/>
  </mergeCells>
  <pageMargins left="0.51181102362204722" right="0.31496062992125984" top="0.78740157480314965" bottom="0.3937007874015748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view="pageBreakPreview" topLeftCell="C4" zoomScaleNormal="100" zoomScaleSheetLayoutView="100" workbookViewId="0">
      <selection activeCell="R18" sqref="R18"/>
    </sheetView>
  </sheetViews>
  <sheetFormatPr defaultRowHeight="12.75" x14ac:dyDescent="0.2"/>
  <cols>
    <col min="1" max="1" width="12" style="330" customWidth="1"/>
    <col min="2" max="2" width="42.85546875" style="330" customWidth="1"/>
    <col min="3" max="3" width="12.28515625" style="330" customWidth="1"/>
    <col min="4" max="4" width="10.140625" style="330" customWidth="1"/>
    <col min="5" max="5" width="10.85546875" style="330" customWidth="1"/>
    <col min="6" max="7" width="12" style="330" customWidth="1"/>
    <col min="8" max="8" width="10.85546875" style="330" customWidth="1"/>
    <col min="9" max="9" width="11" style="330" customWidth="1"/>
    <col min="10" max="10" width="12.140625" style="330" customWidth="1"/>
    <col min="11" max="11" width="9.28515625" style="330" customWidth="1"/>
    <col min="12" max="13" width="9.85546875" style="330" customWidth="1"/>
    <col min="14" max="14" width="9.140625" style="330"/>
    <col min="15" max="16" width="9.42578125" style="330" customWidth="1"/>
    <col min="17" max="17" width="12.7109375" style="330" customWidth="1"/>
    <col min="18" max="16384" width="9.140625" style="330"/>
  </cols>
  <sheetData>
    <row r="1" spans="1:17" ht="49.5" customHeight="1" x14ac:dyDescent="0.2">
      <c r="A1" s="944"/>
      <c r="B1" s="945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981"/>
      <c r="Q1" s="872"/>
    </row>
    <row r="2" spans="1:17" ht="49.5" customHeight="1" x14ac:dyDescent="0.2">
      <c r="A2" s="946"/>
      <c r="B2" s="947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982"/>
      <c r="Q2" s="875"/>
    </row>
    <row r="3" spans="1:17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995"/>
      <c r="Q3" s="877"/>
    </row>
    <row r="4" spans="1:17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76"/>
      <c r="J4" s="876"/>
      <c r="K4" s="876"/>
      <c r="L4" s="880" t="str">
        <f>Terrap.!I4</f>
        <v>SINAPI - JANEIRO / 2019                                                                             ANP 12/2018 (com desoneração)</v>
      </c>
      <c r="M4" s="880"/>
      <c r="N4" s="880"/>
      <c r="O4" s="880"/>
      <c r="P4" s="987"/>
      <c r="Q4" s="881"/>
    </row>
    <row r="5" spans="1:17" ht="15.75" customHeight="1" x14ac:dyDescent="0.2">
      <c r="A5" s="459" t="s">
        <v>59</v>
      </c>
      <c r="B5" s="876" t="str">
        <f>Terrap.!B5</f>
        <v>PREFEITURA MUNICIPAL DE JACIARA</v>
      </c>
      <c r="C5" s="876"/>
      <c r="D5" s="876"/>
      <c r="E5" s="876"/>
      <c r="F5" s="876"/>
      <c r="G5" s="876"/>
      <c r="H5" s="464" t="s">
        <v>455</v>
      </c>
      <c r="I5" s="878" t="str">
        <f>Terrap.!F5</f>
        <v>FEVEREIRO 2019</v>
      </c>
      <c r="J5" s="878"/>
      <c r="K5" s="878"/>
      <c r="L5" s="880"/>
      <c r="M5" s="880"/>
      <c r="N5" s="880"/>
      <c r="O5" s="880"/>
      <c r="P5" s="987"/>
      <c r="Q5" s="881"/>
    </row>
    <row r="6" spans="1:17" ht="15.75" thickBot="1" x14ac:dyDescent="0.25">
      <c r="A6" s="465" t="s">
        <v>60</v>
      </c>
      <c r="B6" s="879">
        <f>Pavim.!B6</f>
        <v>3632.82</v>
      </c>
      <c r="C6" s="879"/>
      <c r="D6" s="879"/>
      <c r="E6" s="879"/>
      <c r="F6" s="879"/>
      <c r="G6" s="879"/>
      <c r="H6" s="466" t="s">
        <v>61</v>
      </c>
      <c r="I6" s="467">
        <f>Terrap.!F6</f>
        <v>0.26019999999999999</v>
      </c>
      <c r="J6" s="996" t="s">
        <v>62</v>
      </c>
      <c r="K6" s="996"/>
      <c r="L6" s="882"/>
      <c r="M6" s="882"/>
      <c r="N6" s="882"/>
      <c r="O6" s="882"/>
      <c r="P6" s="988"/>
      <c r="Q6" s="883"/>
    </row>
    <row r="7" spans="1:17" ht="18.75" customHeight="1" thickBot="1" x14ac:dyDescent="0.25">
      <c r="A7" s="933" t="s">
        <v>380</v>
      </c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97"/>
      <c r="Q7" s="935"/>
    </row>
    <row r="8" spans="1:17" ht="26.25" customHeight="1" x14ac:dyDescent="0.2">
      <c r="A8" s="998" t="s">
        <v>63</v>
      </c>
      <c r="B8" s="999" t="s">
        <v>64</v>
      </c>
      <c r="C8" s="989" t="s">
        <v>69</v>
      </c>
      <c r="D8" s="989" t="s">
        <v>381</v>
      </c>
      <c r="E8" s="989" t="s">
        <v>382</v>
      </c>
      <c r="F8" s="989" t="s">
        <v>383</v>
      </c>
      <c r="G8" s="989"/>
      <c r="H8" s="989"/>
      <c r="I8" s="989"/>
      <c r="J8" s="989" t="s">
        <v>384</v>
      </c>
      <c r="K8" s="989" t="s">
        <v>385</v>
      </c>
      <c r="L8" s="989" t="s">
        <v>386</v>
      </c>
      <c r="M8" s="989" t="s">
        <v>540</v>
      </c>
      <c r="N8" s="989" t="s">
        <v>539</v>
      </c>
      <c r="O8" s="989" t="s">
        <v>387</v>
      </c>
      <c r="P8" s="991" t="s">
        <v>541</v>
      </c>
      <c r="Q8" s="991" t="s">
        <v>542</v>
      </c>
    </row>
    <row r="9" spans="1:17" ht="15.75" customHeight="1" x14ac:dyDescent="0.2">
      <c r="A9" s="983"/>
      <c r="B9" s="984"/>
      <c r="C9" s="990"/>
      <c r="D9" s="990"/>
      <c r="E9" s="990"/>
      <c r="F9" s="651" t="s">
        <v>388</v>
      </c>
      <c r="G9" s="651" t="s">
        <v>389</v>
      </c>
      <c r="H9" s="651" t="s">
        <v>390</v>
      </c>
      <c r="I9" s="651" t="s">
        <v>391</v>
      </c>
      <c r="J9" s="990"/>
      <c r="K9" s="990"/>
      <c r="L9" s="990"/>
      <c r="M9" s="990"/>
      <c r="N9" s="990"/>
      <c r="O9" s="990"/>
      <c r="P9" s="992"/>
      <c r="Q9" s="992"/>
    </row>
    <row r="10" spans="1:17" ht="15.75" customHeight="1" x14ac:dyDescent="0.2">
      <c r="A10" s="983" t="str">
        <f>Terrap.!A10</f>
        <v>TRECHO 01</v>
      </c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5"/>
      <c r="Q10" s="986"/>
    </row>
    <row r="11" spans="1:17" x14ac:dyDescent="0.2">
      <c r="A11" s="652">
        <f>Terrap.!A11</f>
        <v>1</v>
      </c>
      <c r="B11" s="653" t="str">
        <f>Terrap.!B11</f>
        <v>AVENIDA PRINCIPAL</v>
      </c>
      <c r="C11" s="654">
        <f>Terrap.!J11</f>
        <v>4044.58</v>
      </c>
      <c r="D11" s="654">
        <v>0.2</v>
      </c>
      <c r="E11" s="654">
        <v>0.2</v>
      </c>
      <c r="F11" s="655">
        <f>'MF e Sarj.'!E11</f>
        <v>872.58</v>
      </c>
      <c r="G11" s="655">
        <v>0.08</v>
      </c>
      <c r="H11" s="655">
        <v>0.43</v>
      </c>
      <c r="I11" s="655">
        <f>F11*G11*H11</f>
        <v>30.02</v>
      </c>
      <c r="J11" s="655">
        <f>C11*D11</f>
        <v>808.92</v>
      </c>
      <c r="K11" s="655">
        <f>C11*E11-I11</f>
        <v>778.9</v>
      </c>
      <c r="L11" s="655">
        <f>SUM(J11:K11)</f>
        <v>1587.82</v>
      </c>
      <c r="M11" s="655">
        <v>23.6</v>
      </c>
      <c r="N11" s="655">
        <v>18</v>
      </c>
      <c r="O11" s="655">
        <v>1.84</v>
      </c>
      <c r="P11" s="656">
        <f>L11*M11*O11</f>
        <v>68949.5</v>
      </c>
      <c r="Q11" s="656">
        <f>L11*N11*O11</f>
        <v>52588.6</v>
      </c>
    </row>
    <row r="12" spans="1:17" ht="13.5" customHeight="1" x14ac:dyDescent="0.2">
      <c r="A12" s="652"/>
      <c r="B12" s="653"/>
      <c r="C12" s="654"/>
      <c r="D12" s="654"/>
      <c r="E12" s="654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790"/>
      <c r="Q12" s="656"/>
    </row>
    <row r="13" spans="1:17" ht="13.5" thickBot="1" x14ac:dyDescent="0.25">
      <c r="A13" s="993" t="s">
        <v>73</v>
      </c>
      <c r="B13" s="994"/>
      <c r="C13" s="657">
        <f>SUM(C11:C12)</f>
        <v>4044.58</v>
      </c>
      <c r="D13" s="657"/>
      <c r="E13" s="657"/>
      <c r="F13" s="658"/>
      <c r="G13" s="658"/>
      <c r="H13" s="658"/>
      <c r="I13" s="658"/>
      <c r="J13" s="657">
        <f>SUM(J11:J12)</f>
        <v>808.92</v>
      </c>
      <c r="K13" s="657">
        <f>SUM(K11:K12)</f>
        <v>778.9</v>
      </c>
      <c r="L13" s="657">
        <f>SUM(L11:L12)</f>
        <v>1587.82</v>
      </c>
      <c r="M13" s="657"/>
      <c r="N13" s="659"/>
      <c r="O13" s="659"/>
      <c r="P13" s="660">
        <f>SUM(P11:P12)</f>
        <v>68949.5</v>
      </c>
      <c r="Q13" s="660">
        <f>SUM(Q11:Q12)</f>
        <v>52588.6</v>
      </c>
    </row>
    <row r="15" spans="1:17" ht="48.75" customHeight="1" x14ac:dyDescent="0.2">
      <c r="L15" s="331"/>
      <c r="M15" s="331"/>
    </row>
    <row r="16" spans="1:17" x14ac:dyDescent="0.2">
      <c r="B16" s="332" t="str">
        <f>Terrap.!B16</f>
        <v xml:space="preserve">  </v>
      </c>
      <c r="K16" s="331"/>
    </row>
    <row r="17" spans="2:3" x14ac:dyDescent="0.2">
      <c r="B17" s="333" t="str">
        <f>Terrap.!B17</f>
        <v xml:space="preserve">   </v>
      </c>
    </row>
    <row r="18" spans="2:3" x14ac:dyDescent="0.2">
      <c r="B18" s="333"/>
      <c r="C18" s="331"/>
    </row>
    <row r="19" spans="2:3" x14ac:dyDescent="0.2">
      <c r="C19" s="331"/>
    </row>
    <row r="20" spans="2:3" x14ac:dyDescent="0.2">
      <c r="C20" s="331"/>
    </row>
  </sheetData>
  <mergeCells count="27">
    <mergeCell ref="A13:B13"/>
    <mergeCell ref="B3:Q3"/>
    <mergeCell ref="J6:K6"/>
    <mergeCell ref="A7:Q7"/>
    <mergeCell ref="A8:A9"/>
    <mergeCell ref="B8:B9"/>
    <mergeCell ref="C8:C9"/>
    <mergeCell ref="D8:D9"/>
    <mergeCell ref="E8:E9"/>
    <mergeCell ref="F8:I8"/>
    <mergeCell ref="J8:J9"/>
    <mergeCell ref="K8:K9"/>
    <mergeCell ref="L8:L9"/>
    <mergeCell ref="N8:N9"/>
    <mergeCell ref="O8:O9"/>
    <mergeCell ref="Q8:Q9"/>
    <mergeCell ref="A1:B2"/>
    <mergeCell ref="C1:Q1"/>
    <mergeCell ref="C2:Q2"/>
    <mergeCell ref="A10:Q10"/>
    <mergeCell ref="I5:K5"/>
    <mergeCell ref="B4:K4"/>
    <mergeCell ref="L4:Q6"/>
    <mergeCell ref="B5:G5"/>
    <mergeCell ref="B6:G6"/>
    <mergeCell ref="M8:M9"/>
    <mergeCell ref="P8:P9"/>
  </mergeCells>
  <pageMargins left="0.511811024" right="0.511811024" top="0.78740157499999996" bottom="0.78740157499999996" header="0.31496062000000002" footer="0.31496062000000002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topLeftCell="A7" zoomScaleSheetLayoutView="100" workbookViewId="0">
      <selection activeCell="K5" sqref="K5"/>
    </sheetView>
  </sheetViews>
  <sheetFormatPr defaultRowHeight="12.75" x14ac:dyDescent="0.2"/>
  <cols>
    <col min="1" max="1" width="12.42578125" style="330" customWidth="1"/>
    <col min="2" max="2" width="51.28515625" style="330" bestFit="1" customWidth="1"/>
    <col min="3" max="3" width="13.42578125" style="330" customWidth="1"/>
    <col min="4" max="4" width="12.140625" style="330" bestFit="1" customWidth="1"/>
    <col min="5" max="5" width="11.28515625" style="330" bestFit="1" customWidth="1"/>
    <col min="6" max="7" width="9.140625" style="330" customWidth="1"/>
    <col min="8" max="8" width="16.42578125" style="330" bestFit="1" customWidth="1"/>
    <col min="9" max="9" width="17.85546875" style="330" customWidth="1"/>
    <col min="10" max="10" width="16.5703125" style="330" customWidth="1"/>
    <col min="11" max="12" width="9.140625" style="330"/>
    <col min="13" max="13" width="11.7109375" style="330" bestFit="1" customWidth="1"/>
    <col min="14" max="16384" width="9.140625" style="330"/>
  </cols>
  <sheetData>
    <row r="1" spans="1:13" ht="51.75" customHeight="1" x14ac:dyDescent="0.2">
      <c r="A1" s="944"/>
      <c r="B1" s="945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872"/>
    </row>
    <row r="2" spans="1:13" ht="51.75" customHeight="1" x14ac:dyDescent="0.2">
      <c r="A2" s="946"/>
      <c r="B2" s="947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875"/>
    </row>
    <row r="3" spans="1:13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7"/>
    </row>
    <row r="4" spans="1:13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80" t="str">
        <f>Terrap.!I4</f>
        <v>SINAPI - JANEIRO / 2019                                                                             ANP 12/2018 (com desoneração)</v>
      </c>
      <c r="J4" s="881"/>
    </row>
    <row r="5" spans="1:13" ht="16.5" customHeight="1" x14ac:dyDescent="0.2">
      <c r="A5" s="459" t="s">
        <v>59</v>
      </c>
      <c r="B5" s="876" t="str">
        <f>Terrap.!B5</f>
        <v>PREFEITURA MUNICIPAL DE JACIARA</v>
      </c>
      <c r="C5" s="876"/>
      <c r="D5" s="876"/>
      <c r="E5" s="464" t="s">
        <v>455</v>
      </c>
      <c r="F5" s="878" t="str">
        <f>Terrap.!F5</f>
        <v>FEVEREIRO 2019</v>
      </c>
      <c r="G5" s="878"/>
      <c r="H5" s="878"/>
      <c r="I5" s="880"/>
      <c r="J5" s="881"/>
    </row>
    <row r="6" spans="1:13" ht="15.75" thickBot="1" x14ac:dyDescent="0.25">
      <c r="A6" s="465" t="s">
        <v>60</v>
      </c>
      <c r="B6" s="879">
        <f>C14</f>
        <v>3632.82</v>
      </c>
      <c r="C6" s="879"/>
      <c r="D6" s="879"/>
      <c r="E6" s="466" t="s">
        <v>61</v>
      </c>
      <c r="F6" s="948">
        <f>Terrap.!F6</f>
        <v>0.26019999999999999</v>
      </c>
      <c r="G6" s="948"/>
      <c r="H6" s="466" t="s">
        <v>62</v>
      </c>
      <c r="I6" s="882"/>
      <c r="J6" s="883"/>
    </row>
    <row r="7" spans="1:13" ht="21.75" customHeight="1" thickBot="1" x14ac:dyDescent="0.25">
      <c r="A7" s="933" t="s">
        <v>261</v>
      </c>
      <c r="B7" s="934"/>
      <c r="C7" s="934"/>
      <c r="D7" s="934"/>
      <c r="E7" s="934"/>
      <c r="F7" s="934"/>
      <c r="G7" s="934"/>
      <c r="H7" s="934"/>
      <c r="I7" s="934"/>
      <c r="J7" s="935"/>
    </row>
    <row r="8" spans="1:13" ht="14.25" x14ac:dyDescent="0.2">
      <c r="A8" s="1003" t="s">
        <v>63</v>
      </c>
      <c r="B8" s="1000" t="s">
        <v>64</v>
      </c>
      <c r="C8" s="1000" t="s">
        <v>65</v>
      </c>
      <c r="D8" s="1000" t="s">
        <v>66</v>
      </c>
      <c r="E8" s="1000" t="s">
        <v>67</v>
      </c>
      <c r="F8" s="1000" t="s">
        <v>68</v>
      </c>
      <c r="G8" s="1000"/>
      <c r="H8" s="1000"/>
      <c r="I8" s="1000"/>
      <c r="J8" s="1001" t="s">
        <v>69</v>
      </c>
    </row>
    <row r="9" spans="1:13" ht="14.25" x14ac:dyDescent="0.2">
      <c r="A9" s="942"/>
      <c r="B9" s="943"/>
      <c r="C9" s="943"/>
      <c r="D9" s="943"/>
      <c r="E9" s="943"/>
      <c r="F9" s="555" t="s">
        <v>70</v>
      </c>
      <c r="G9" s="555" t="s">
        <v>71</v>
      </c>
      <c r="H9" s="555" t="s">
        <v>72</v>
      </c>
      <c r="I9" s="555" t="s">
        <v>69</v>
      </c>
      <c r="J9" s="1002"/>
    </row>
    <row r="10" spans="1:13" ht="18" customHeight="1" x14ac:dyDescent="0.2">
      <c r="A10" s="942" t="str">
        <f>Terrap.!A10</f>
        <v>TRECHO 01</v>
      </c>
      <c r="B10" s="943"/>
      <c r="C10" s="943"/>
      <c r="D10" s="943"/>
      <c r="E10" s="943"/>
      <c r="F10" s="943"/>
      <c r="G10" s="943"/>
      <c r="H10" s="943"/>
      <c r="I10" s="943"/>
      <c r="J10" s="1002"/>
    </row>
    <row r="11" spans="1:13" ht="18.75" customHeight="1" x14ac:dyDescent="0.2">
      <c r="A11" s="667">
        <f>Terrap.!A11</f>
        <v>1</v>
      </c>
      <c r="B11" s="550" t="str">
        <f>Terrap.!B11</f>
        <v>AVENIDA PRINCIPAL</v>
      </c>
      <c r="C11" s="668">
        <f>Terrap.!C11</f>
        <v>488.46</v>
      </c>
      <c r="D11" s="446">
        <f>Terrap.!D11-0.86</f>
        <v>7</v>
      </c>
      <c r="E11" s="669">
        <f t="shared" ref="E11" si="0">(D11*C11)</f>
        <v>3419.22</v>
      </c>
      <c r="F11" s="670" t="str">
        <f>Terrap.!F11</f>
        <v>LR-01</v>
      </c>
      <c r="G11" s="447">
        <f>Terrap.!G11</f>
        <v>8</v>
      </c>
      <c r="H11" s="450">
        <v>26.7</v>
      </c>
      <c r="I11" s="668">
        <f t="shared" ref="I11" si="1">H11*G11</f>
        <v>213.6</v>
      </c>
      <c r="J11" s="671">
        <f>I11+E11</f>
        <v>3632.82</v>
      </c>
      <c r="K11" s="331"/>
      <c r="M11" s="331"/>
    </row>
    <row r="12" spans="1:13" ht="18.75" customHeight="1" x14ac:dyDescent="0.2">
      <c r="A12" s="667"/>
      <c r="B12" s="550"/>
      <c r="C12" s="668"/>
      <c r="D12" s="446"/>
      <c r="E12" s="669"/>
      <c r="F12" s="551"/>
      <c r="G12" s="447"/>
      <c r="H12" s="450"/>
      <c r="I12" s="668"/>
      <c r="J12" s="671"/>
      <c r="K12" s="331"/>
      <c r="M12" s="331"/>
    </row>
    <row r="13" spans="1:13" ht="18.75" customHeight="1" x14ac:dyDescent="0.2">
      <c r="A13" s="942" t="s">
        <v>73</v>
      </c>
      <c r="B13" s="943"/>
      <c r="C13" s="449">
        <f>SUM(C11:C12)</f>
        <v>488.46</v>
      </c>
      <c r="D13" s="447"/>
      <c r="E13" s="449">
        <f>SUM(E11:E12)</f>
        <v>3419.22</v>
      </c>
      <c r="F13" s="551"/>
      <c r="G13" s="447"/>
      <c r="H13" s="551"/>
      <c r="I13" s="449">
        <f>SUM(I11:I12)</f>
        <v>213.6</v>
      </c>
      <c r="J13" s="452">
        <f>SUM(J11:J12)</f>
        <v>3632.82</v>
      </c>
      <c r="K13" s="331"/>
      <c r="M13" s="331"/>
    </row>
    <row r="14" spans="1:13" ht="18.75" customHeight="1" thickBot="1" x14ac:dyDescent="0.25">
      <c r="A14" s="929" t="s">
        <v>74</v>
      </c>
      <c r="B14" s="930"/>
      <c r="C14" s="931">
        <f>I13+E13</f>
        <v>3632.82</v>
      </c>
      <c r="D14" s="931"/>
      <c r="E14" s="931"/>
      <c r="F14" s="931"/>
      <c r="G14" s="931"/>
      <c r="H14" s="931"/>
      <c r="I14" s="931"/>
      <c r="J14" s="932"/>
      <c r="K14" s="331"/>
      <c r="M14" s="331"/>
    </row>
    <row r="15" spans="1:13" x14ac:dyDescent="0.2">
      <c r="M15" s="331"/>
    </row>
    <row r="16" spans="1:13" ht="51.75" customHeight="1" x14ac:dyDescent="0.2">
      <c r="H16" s="474"/>
      <c r="M16" s="331"/>
    </row>
    <row r="17" spans="2:7" ht="15.75" x14ac:dyDescent="0.2">
      <c r="B17" s="475" t="str">
        <f>Terrap.!B16</f>
        <v xml:space="preserve">  </v>
      </c>
      <c r="E17" s="331"/>
      <c r="G17" s="331"/>
    </row>
    <row r="18" spans="2:7" x14ac:dyDescent="0.2">
      <c r="B18" s="476" t="str">
        <f>Terrap.!B17</f>
        <v xml:space="preserve">   </v>
      </c>
    </row>
  </sheetData>
  <mergeCells count="22">
    <mergeCell ref="A1:B2"/>
    <mergeCell ref="C1:J1"/>
    <mergeCell ref="C2:J2"/>
    <mergeCell ref="A7:J7"/>
    <mergeCell ref="A8:A9"/>
    <mergeCell ref="B8:B9"/>
    <mergeCell ref="C8:C9"/>
    <mergeCell ref="D8:D9"/>
    <mergeCell ref="E8:E9"/>
    <mergeCell ref="B3:J3"/>
    <mergeCell ref="B6:D6"/>
    <mergeCell ref="F6:G6"/>
    <mergeCell ref="F5:H5"/>
    <mergeCell ref="I4:J6"/>
    <mergeCell ref="B5:D5"/>
    <mergeCell ref="B4:H4"/>
    <mergeCell ref="A14:B14"/>
    <mergeCell ref="C14:J14"/>
    <mergeCell ref="F8:I8"/>
    <mergeCell ref="J8:J9"/>
    <mergeCell ref="A13:B13"/>
    <mergeCell ref="A10:J10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75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BreakPreview" zoomScale="115" zoomScaleSheetLayoutView="115" workbookViewId="0">
      <selection activeCell="K11" sqref="K11"/>
    </sheetView>
  </sheetViews>
  <sheetFormatPr defaultRowHeight="12.75" x14ac:dyDescent="0.2"/>
  <cols>
    <col min="1" max="1" width="12.28515625" style="330" customWidth="1"/>
    <col min="2" max="2" width="49.140625" style="330" customWidth="1"/>
    <col min="3" max="3" width="12.5703125" style="330" bestFit="1" customWidth="1"/>
    <col min="4" max="5" width="9.28515625" style="330" bestFit="1" customWidth="1"/>
    <col min="6" max="6" width="9.7109375" style="330" bestFit="1" customWidth="1"/>
    <col min="7" max="7" width="9.28515625" style="330" bestFit="1" customWidth="1"/>
    <col min="8" max="8" width="11" style="330" customWidth="1"/>
    <col min="9" max="10" width="10" style="330" customWidth="1"/>
    <col min="11" max="11" width="13.140625" style="330" customWidth="1"/>
    <col min="12" max="12" width="15.140625" style="330" customWidth="1"/>
    <col min="13" max="16384" width="9.140625" style="330"/>
  </cols>
  <sheetData>
    <row r="1" spans="1:12" ht="48" customHeight="1" x14ac:dyDescent="0.2">
      <c r="A1" s="944"/>
      <c r="B1" s="945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981"/>
      <c r="K1" s="981"/>
      <c r="L1" s="872"/>
    </row>
    <row r="2" spans="1:12" ht="48" customHeight="1" x14ac:dyDescent="0.2">
      <c r="A2" s="946"/>
      <c r="B2" s="947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982"/>
      <c r="K2" s="982"/>
      <c r="L2" s="875"/>
    </row>
    <row r="3" spans="1:12" x14ac:dyDescent="0.2">
      <c r="A3" s="479" t="s">
        <v>57</v>
      </c>
      <c r="B3" s="1006" t="str">
        <f>Terrap.!B3</f>
        <v>PAVIMENTAÇÃO ASFALTICA EM TSD</v>
      </c>
      <c r="C3" s="1006"/>
      <c r="D3" s="1006"/>
      <c r="E3" s="1006"/>
      <c r="F3" s="1006"/>
      <c r="G3" s="1006"/>
      <c r="H3" s="1006"/>
      <c r="I3" s="1006"/>
      <c r="J3" s="1007"/>
      <c r="K3" s="1007"/>
      <c r="L3" s="1008"/>
    </row>
    <row r="4" spans="1:12" x14ac:dyDescent="0.2">
      <c r="A4" s="479" t="s">
        <v>58</v>
      </c>
      <c r="B4" s="1006" t="str">
        <f>Terrap.!B4</f>
        <v>DIVERSAS RUAS - DISTRITO DE CELMA</v>
      </c>
      <c r="C4" s="1006"/>
      <c r="D4" s="1006"/>
      <c r="E4" s="1006"/>
      <c r="F4" s="1006"/>
      <c r="G4" s="1006"/>
      <c r="H4" s="1006"/>
      <c r="I4" s="1010" t="str">
        <f>Terrap.!I4</f>
        <v>SINAPI - JANEIRO / 2019                                                                             ANP 12/2018 (com desoneração)</v>
      </c>
      <c r="J4" s="1011"/>
      <c r="K4" s="1011"/>
      <c r="L4" s="1012"/>
    </row>
    <row r="5" spans="1:12" ht="16.5" customHeight="1" x14ac:dyDescent="0.2">
      <c r="A5" s="479" t="s">
        <v>59</v>
      </c>
      <c r="B5" s="1006" t="str">
        <f>Terrap.!B5</f>
        <v>PREFEITURA MUNICIPAL DE JACIARA</v>
      </c>
      <c r="C5" s="1006"/>
      <c r="D5" s="1006"/>
      <c r="E5" s="480" t="s">
        <v>455</v>
      </c>
      <c r="F5" s="1009" t="str">
        <f>Terrap.!F5</f>
        <v>FEVEREIRO 2019</v>
      </c>
      <c r="G5" s="1009"/>
      <c r="H5" s="1009"/>
      <c r="I5" s="1010"/>
      <c r="J5" s="1011"/>
      <c r="K5" s="1011"/>
      <c r="L5" s="1012"/>
    </row>
    <row r="6" spans="1:12" ht="22.5" customHeight="1" thickBot="1" x14ac:dyDescent="0.25">
      <c r="A6" s="481" t="s">
        <v>60</v>
      </c>
      <c r="B6" s="1004">
        <f>Pavim.!B6</f>
        <v>3632.82</v>
      </c>
      <c r="C6" s="1004"/>
      <c r="D6" s="1004"/>
      <c r="E6" s="482" t="s">
        <v>61</v>
      </c>
      <c r="F6" s="1005">
        <f>Terrap.!F6</f>
        <v>0.26019999999999999</v>
      </c>
      <c r="G6" s="1005"/>
      <c r="H6" s="482" t="s">
        <v>62</v>
      </c>
      <c r="I6" s="1013"/>
      <c r="J6" s="1014"/>
      <c r="K6" s="1014"/>
      <c r="L6" s="1015"/>
    </row>
    <row r="7" spans="1:12" ht="20.25" customHeight="1" thickBot="1" x14ac:dyDescent="0.25">
      <c r="A7" s="1016" t="s">
        <v>528</v>
      </c>
      <c r="B7" s="1017"/>
      <c r="C7" s="1017"/>
      <c r="D7" s="1017"/>
      <c r="E7" s="1017"/>
      <c r="F7" s="1017"/>
      <c r="G7" s="1017"/>
      <c r="H7" s="1017"/>
      <c r="I7" s="1017"/>
      <c r="J7" s="1018"/>
      <c r="K7" s="1018"/>
      <c r="L7" s="1019"/>
    </row>
    <row r="8" spans="1:12" ht="26.25" customHeight="1" x14ac:dyDescent="0.2">
      <c r="A8" s="998" t="s">
        <v>63</v>
      </c>
      <c r="B8" s="999" t="s">
        <v>64</v>
      </c>
      <c r="C8" s="989" t="s">
        <v>69</v>
      </c>
      <c r="D8" s="989" t="s">
        <v>397</v>
      </c>
      <c r="E8" s="989" t="s">
        <v>398</v>
      </c>
      <c r="F8" s="989" t="s">
        <v>399</v>
      </c>
      <c r="G8" s="989" t="s">
        <v>400</v>
      </c>
      <c r="H8" s="989" t="s">
        <v>366</v>
      </c>
      <c r="I8" s="989" t="s">
        <v>525</v>
      </c>
      <c r="J8" s="989" t="s">
        <v>524</v>
      </c>
      <c r="K8" s="989" t="s">
        <v>523</v>
      </c>
      <c r="L8" s="991" t="s">
        <v>526</v>
      </c>
    </row>
    <row r="9" spans="1:12" ht="31.5" customHeight="1" x14ac:dyDescent="0.2">
      <c r="A9" s="983"/>
      <c r="B9" s="984"/>
      <c r="C9" s="990"/>
      <c r="D9" s="990"/>
      <c r="E9" s="990"/>
      <c r="F9" s="990"/>
      <c r="G9" s="990"/>
      <c r="H9" s="990"/>
      <c r="I9" s="990"/>
      <c r="J9" s="990"/>
      <c r="K9" s="990"/>
      <c r="L9" s="992"/>
    </row>
    <row r="10" spans="1:12" x14ac:dyDescent="0.2">
      <c r="A10" s="983" t="str">
        <f>Terrap.!A10</f>
        <v>TRECHO 01</v>
      </c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6"/>
    </row>
    <row r="11" spans="1:12" x14ac:dyDescent="0.2">
      <c r="A11" s="652">
        <f>Terrap.!A11</f>
        <v>1</v>
      </c>
      <c r="B11" s="653" t="str">
        <f>Terrap.!B11</f>
        <v>AVENIDA PRINCIPAL</v>
      </c>
      <c r="C11" s="654">
        <f>Pavim.!J11</f>
        <v>3632.82</v>
      </c>
      <c r="D11" s="654">
        <f>'Compo. Capa'!D26*1.4*1000</f>
        <v>34.58</v>
      </c>
      <c r="E11" s="654">
        <f>'Compo. Capa'!D47*1.4*1000</f>
        <v>10.08</v>
      </c>
      <c r="F11" s="655">
        <f>C11*D11/1000</f>
        <v>125.62</v>
      </c>
      <c r="G11" s="655">
        <f>C11*E11/1000</f>
        <v>36.619999999999997</v>
      </c>
      <c r="H11" s="655">
        <f>SUM(F11:G11)</f>
        <v>162.24</v>
      </c>
      <c r="I11" s="655">
        <v>35</v>
      </c>
      <c r="J11" s="655">
        <v>24</v>
      </c>
      <c r="K11" s="655">
        <f>H11*I11</f>
        <v>5678.4</v>
      </c>
      <c r="L11" s="656">
        <f>H11*J11</f>
        <v>3893.76</v>
      </c>
    </row>
    <row r="12" spans="1:12" x14ac:dyDescent="0.2">
      <c r="A12" s="652"/>
      <c r="B12" s="653"/>
      <c r="C12" s="654"/>
      <c r="D12" s="654"/>
      <c r="E12" s="654"/>
      <c r="F12" s="655"/>
      <c r="G12" s="655"/>
      <c r="H12" s="655"/>
      <c r="I12" s="655"/>
      <c r="J12" s="655"/>
      <c r="K12" s="655"/>
      <c r="L12" s="656"/>
    </row>
    <row r="13" spans="1:12" ht="28.5" customHeight="1" thickBot="1" x14ac:dyDescent="0.25">
      <c r="A13" s="993" t="s">
        <v>529</v>
      </c>
      <c r="B13" s="994"/>
      <c r="C13" s="657">
        <f>SUM(C11:C12)</f>
        <v>3632.82</v>
      </c>
      <c r="D13" s="657"/>
      <c r="E13" s="657"/>
      <c r="F13" s="658">
        <f>SUM(F11:F12)</f>
        <v>125.62</v>
      </c>
      <c r="G13" s="658">
        <f>SUM(G11:G12)</f>
        <v>36.619999999999997</v>
      </c>
      <c r="H13" s="658">
        <f>SUM(H11:H12)</f>
        <v>162.24</v>
      </c>
      <c r="I13" s="659"/>
      <c r="J13" s="659"/>
      <c r="K13" s="658">
        <f>SUM(K11:K12)</f>
        <v>5678.4</v>
      </c>
      <c r="L13" s="672">
        <f>SUM(L11:L12)</f>
        <v>3893.76</v>
      </c>
    </row>
    <row r="14" spans="1:12" x14ac:dyDescent="0.2">
      <c r="A14" s="320"/>
      <c r="B14" s="320"/>
      <c r="C14" s="321"/>
      <c r="D14" s="321"/>
      <c r="E14" s="321"/>
      <c r="F14" s="322"/>
      <c r="G14" s="322"/>
      <c r="H14" s="322"/>
      <c r="L14" s="322"/>
    </row>
    <row r="15" spans="1:12" ht="47.25" customHeight="1" x14ac:dyDescent="0.2"/>
    <row r="16" spans="1:12" x14ac:dyDescent="0.2">
      <c r="B16" s="477" t="str">
        <f>Terrap.!B16</f>
        <v xml:space="preserve">  </v>
      </c>
    </row>
    <row r="17" spans="2:2" x14ac:dyDescent="0.2">
      <c r="B17" s="478" t="str">
        <f>Terrap.!B17</f>
        <v xml:space="preserve">   </v>
      </c>
    </row>
  </sheetData>
  <mergeCells count="25">
    <mergeCell ref="A13:B13"/>
    <mergeCell ref="A7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L10"/>
    <mergeCell ref="A1:B2"/>
    <mergeCell ref="C1:L1"/>
    <mergeCell ref="C2:L2"/>
    <mergeCell ref="L8:L9"/>
    <mergeCell ref="B6:D6"/>
    <mergeCell ref="F6:G6"/>
    <mergeCell ref="B3:L3"/>
    <mergeCell ref="F5:H5"/>
    <mergeCell ref="I4:L6"/>
    <mergeCell ref="B4:H4"/>
    <mergeCell ref="B5:D5"/>
    <mergeCell ref="J8:J9"/>
    <mergeCell ref="K8:K9"/>
  </mergeCells>
  <pageMargins left="0.511811024" right="0.511811024" top="0.78740157499999996" bottom="0.78740157499999996" header="0.31496062000000002" footer="0.31496062000000002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view="pageBreakPreview" zoomScale="115" zoomScaleSheetLayoutView="115" workbookViewId="0">
      <selection activeCell="A14" sqref="A14"/>
    </sheetView>
  </sheetViews>
  <sheetFormatPr defaultRowHeight="12.75" x14ac:dyDescent="0.2"/>
  <cols>
    <col min="1" max="1" width="12.42578125" style="330" customWidth="1"/>
    <col min="2" max="2" width="42.7109375" style="330" customWidth="1"/>
    <col min="3" max="3" width="12.28515625" style="330" customWidth="1"/>
    <col min="4" max="4" width="11.5703125" style="330" bestFit="1" customWidth="1"/>
    <col min="5" max="5" width="9" style="330" customWidth="1"/>
    <col min="6" max="6" width="12.140625" style="330" customWidth="1"/>
    <col min="7" max="7" width="9.42578125" style="330" customWidth="1"/>
    <col min="8" max="8" width="11.85546875" style="330" customWidth="1"/>
    <col min="9" max="9" width="7.85546875" style="330" customWidth="1"/>
    <col min="10" max="10" width="9.7109375" style="330" customWidth="1"/>
    <col min="11" max="11" width="12" style="330" customWidth="1"/>
    <col min="12" max="12" width="15.7109375" style="330" customWidth="1"/>
    <col min="13" max="16384" width="9.140625" style="330"/>
  </cols>
  <sheetData>
    <row r="1" spans="1:12" ht="48" customHeight="1" x14ac:dyDescent="0.2">
      <c r="A1" s="944"/>
      <c r="B1" s="945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981"/>
      <c r="K1" s="981"/>
      <c r="L1" s="872"/>
    </row>
    <row r="2" spans="1:12" ht="48" customHeight="1" x14ac:dyDescent="0.2">
      <c r="A2" s="946"/>
      <c r="B2" s="947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982"/>
      <c r="K2" s="982"/>
      <c r="L2" s="875"/>
    </row>
    <row r="3" spans="1:12" ht="15" customHeight="1" x14ac:dyDescent="0.2">
      <c r="A3" s="479" t="s">
        <v>57</v>
      </c>
      <c r="B3" s="1006" t="str">
        <f>Terrap.!B3</f>
        <v>PAVIMENTAÇÃO ASFALTICA EM TSD</v>
      </c>
      <c r="C3" s="1006"/>
      <c r="D3" s="1006"/>
      <c r="E3" s="1006"/>
      <c r="F3" s="1006"/>
      <c r="G3" s="1006"/>
      <c r="H3" s="1006"/>
      <c r="I3" s="1006"/>
      <c r="J3" s="1007"/>
      <c r="K3" s="1007"/>
      <c r="L3" s="1008"/>
    </row>
    <row r="4" spans="1:12" ht="15" customHeight="1" x14ac:dyDescent="0.2">
      <c r="A4" s="479" t="s">
        <v>58</v>
      </c>
      <c r="B4" s="1006" t="str">
        <f>Terrap.!B4</f>
        <v>DIVERSAS RUAS - DISTRITO DE CELMA</v>
      </c>
      <c r="C4" s="1006"/>
      <c r="D4" s="1006"/>
      <c r="E4" s="1006"/>
      <c r="F4" s="1006"/>
      <c r="G4" s="1006"/>
      <c r="H4" s="1006"/>
      <c r="I4" s="1010" t="str">
        <f>Terrap.!I4</f>
        <v>SINAPI - JANEIRO / 2019                                                                             ANP 12/2018 (com desoneração)</v>
      </c>
      <c r="J4" s="1011"/>
      <c r="K4" s="1011"/>
      <c r="L4" s="1012"/>
    </row>
    <row r="5" spans="1:12" ht="15" customHeight="1" x14ac:dyDescent="0.2">
      <c r="A5" s="479" t="s">
        <v>59</v>
      </c>
      <c r="B5" s="1006" t="str">
        <f>Terrap.!B5</f>
        <v>PREFEITURA MUNICIPAL DE JACIARA</v>
      </c>
      <c r="C5" s="1006"/>
      <c r="D5" s="1006"/>
      <c r="E5" s="480" t="s">
        <v>455</v>
      </c>
      <c r="F5" s="1009" t="str">
        <f>Terrap.!F5</f>
        <v>FEVEREIRO 2019</v>
      </c>
      <c r="G5" s="1009"/>
      <c r="H5" s="1009"/>
      <c r="I5" s="1010"/>
      <c r="J5" s="1011"/>
      <c r="K5" s="1011"/>
      <c r="L5" s="1012"/>
    </row>
    <row r="6" spans="1:12" ht="15" customHeight="1" thickBot="1" x14ac:dyDescent="0.25">
      <c r="A6" s="481" t="s">
        <v>60</v>
      </c>
      <c r="B6" s="1004">
        <f>Pavim.!B6</f>
        <v>3632.82</v>
      </c>
      <c r="C6" s="1004"/>
      <c r="D6" s="1004"/>
      <c r="E6" s="482" t="s">
        <v>61</v>
      </c>
      <c r="F6" s="1005">
        <f>Terrap.!F6</f>
        <v>0.26019999999999999</v>
      </c>
      <c r="G6" s="1005"/>
      <c r="H6" s="482" t="s">
        <v>62</v>
      </c>
      <c r="I6" s="1013"/>
      <c r="J6" s="1014"/>
      <c r="K6" s="1014"/>
      <c r="L6" s="1015"/>
    </row>
    <row r="7" spans="1:12" ht="19.5" customHeight="1" thickBot="1" x14ac:dyDescent="0.25">
      <c r="A7" s="1020" t="s">
        <v>527</v>
      </c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2"/>
    </row>
    <row r="8" spans="1:12" ht="26.25" customHeight="1" x14ac:dyDescent="0.2">
      <c r="A8" s="998" t="s">
        <v>63</v>
      </c>
      <c r="B8" s="999" t="s">
        <v>64</v>
      </c>
      <c r="C8" s="989" t="s">
        <v>69</v>
      </c>
      <c r="D8" s="989" t="s">
        <v>402</v>
      </c>
      <c r="E8" s="989" t="s">
        <v>401</v>
      </c>
      <c r="F8" s="989" t="s">
        <v>367</v>
      </c>
      <c r="G8" s="989" t="s">
        <v>368</v>
      </c>
      <c r="H8" s="989" t="s">
        <v>366</v>
      </c>
      <c r="I8" s="989" t="s">
        <v>525</v>
      </c>
      <c r="J8" s="989" t="s">
        <v>524</v>
      </c>
      <c r="K8" s="989" t="s">
        <v>523</v>
      </c>
      <c r="L8" s="991" t="s">
        <v>526</v>
      </c>
    </row>
    <row r="9" spans="1:12" ht="31.5" customHeight="1" x14ac:dyDescent="0.2">
      <c r="A9" s="983"/>
      <c r="B9" s="984"/>
      <c r="C9" s="990"/>
      <c r="D9" s="990"/>
      <c r="E9" s="990"/>
      <c r="F9" s="990"/>
      <c r="G9" s="990"/>
      <c r="H9" s="990"/>
      <c r="I9" s="990"/>
      <c r="J9" s="990"/>
      <c r="K9" s="990"/>
      <c r="L9" s="992"/>
    </row>
    <row r="10" spans="1:12" x14ac:dyDescent="0.2">
      <c r="A10" s="983" t="str">
        <f>Terrap.!A10</f>
        <v>TRECHO 01</v>
      </c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6"/>
    </row>
    <row r="11" spans="1:12" x14ac:dyDescent="0.2">
      <c r="A11" s="652">
        <f>Terrap.!A11</f>
        <v>1</v>
      </c>
      <c r="B11" s="653" t="str">
        <f>Terrap.!B11</f>
        <v>AVENIDA PRINCIPAL</v>
      </c>
      <c r="C11" s="654">
        <f>Pavim.!J11</f>
        <v>3632.82</v>
      </c>
      <c r="D11" s="654">
        <v>1.3</v>
      </c>
      <c r="E11" s="654">
        <v>3.5</v>
      </c>
      <c r="F11" s="655">
        <f>C11*D11/1000</f>
        <v>4.72</v>
      </c>
      <c r="G11" s="655">
        <f>C11*E11/1000</f>
        <v>12.71</v>
      </c>
      <c r="H11" s="655">
        <f>SUM(F11:G11)</f>
        <v>17.43</v>
      </c>
      <c r="I11" s="655">
        <v>112</v>
      </c>
      <c r="J11" s="655">
        <v>24</v>
      </c>
      <c r="K11" s="655">
        <f>H11*I11</f>
        <v>1952.16</v>
      </c>
      <c r="L11" s="656">
        <f>H11*J11</f>
        <v>418.32</v>
      </c>
    </row>
    <row r="12" spans="1:12" x14ac:dyDescent="0.2">
      <c r="A12" s="652"/>
      <c r="B12" s="653"/>
      <c r="C12" s="654"/>
      <c r="D12" s="654"/>
      <c r="E12" s="654"/>
      <c r="F12" s="655"/>
      <c r="G12" s="655"/>
      <c r="H12" s="655"/>
      <c r="I12" s="655"/>
      <c r="J12" s="655"/>
      <c r="K12" s="655"/>
      <c r="L12" s="656"/>
    </row>
    <row r="13" spans="1:12" ht="27.75" customHeight="1" thickBot="1" x14ac:dyDescent="0.25">
      <c r="A13" s="993" t="s">
        <v>529</v>
      </c>
      <c r="B13" s="994"/>
      <c r="C13" s="657">
        <f>SUM(C11:C12)</f>
        <v>3632.82</v>
      </c>
      <c r="D13" s="657"/>
      <c r="E13" s="657"/>
      <c r="F13" s="658">
        <f>SUM(F11:F12)</f>
        <v>4.72</v>
      </c>
      <c r="G13" s="658">
        <f>SUM(G11:G12)</f>
        <v>12.71</v>
      </c>
      <c r="H13" s="658">
        <f>SUM(H11:H12)</f>
        <v>17.43</v>
      </c>
      <c r="I13" s="659"/>
      <c r="J13" s="659"/>
      <c r="K13" s="658">
        <f>SUM(K11:K12)</f>
        <v>1952.16</v>
      </c>
      <c r="L13" s="672">
        <f>SUM(L11:L12)</f>
        <v>418.32</v>
      </c>
    </row>
    <row r="16" spans="1:12" ht="31.5" customHeight="1" x14ac:dyDescent="0.2"/>
    <row r="17" spans="2:2" x14ac:dyDescent="0.2">
      <c r="B17" s="352" t="str">
        <f>Terrap.!B16</f>
        <v xml:space="preserve">  </v>
      </c>
    </row>
    <row r="18" spans="2:2" x14ac:dyDescent="0.2">
      <c r="B18" s="353" t="str">
        <f>Terrap.!B17</f>
        <v xml:space="preserve">   </v>
      </c>
    </row>
  </sheetData>
  <mergeCells count="25">
    <mergeCell ref="L8:L9"/>
    <mergeCell ref="J8:J9"/>
    <mergeCell ref="K8:K9"/>
    <mergeCell ref="A13:B13"/>
    <mergeCell ref="A7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L10"/>
    <mergeCell ref="C1:L1"/>
    <mergeCell ref="C2:L2"/>
    <mergeCell ref="A1:B2"/>
    <mergeCell ref="B3:L3"/>
    <mergeCell ref="B4:H4"/>
    <mergeCell ref="I4:L6"/>
    <mergeCell ref="B5:D5"/>
    <mergeCell ref="F5:H5"/>
    <mergeCell ref="B6:D6"/>
    <mergeCell ref="F6:G6"/>
  </mergeCells>
  <pageMargins left="0.511811024" right="0.511811024" top="0.78740157499999996" bottom="0.78740157499999996" header="0.31496062000000002" footer="0.31496062000000002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topLeftCell="A4" zoomScale="115" zoomScaleSheetLayoutView="115" workbookViewId="0">
      <selection activeCell="C11" sqref="C11"/>
    </sheetView>
  </sheetViews>
  <sheetFormatPr defaultRowHeight="12.75" x14ac:dyDescent="0.2"/>
  <cols>
    <col min="1" max="1" width="11.85546875" style="330" customWidth="1"/>
    <col min="2" max="2" width="44" style="330" customWidth="1"/>
    <col min="3" max="3" width="15.42578125" style="330" customWidth="1"/>
    <col min="4" max="4" width="14.28515625" style="330" customWidth="1"/>
    <col min="5" max="5" width="10" style="330" customWidth="1"/>
    <col min="6" max="6" width="9.140625" style="330"/>
    <col min="7" max="7" width="7.28515625" style="330" customWidth="1"/>
    <col min="8" max="8" width="16.85546875" style="330" customWidth="1"/>
    <col min="9" max="9" width="16.7109375" style="330" customWidth="1"/>
    <col min="10" max="10" width="14.5703125" style="330" customWidth="1"/>
    <col min="11" max="16384" width="9.140625" style="330"/>
  </cols>
  <sheetData>
    <row r="1" spans="1:13" ht="48" customHeight="1" x14ac:dyDescent="0.2">
      <c r="A1" s="944"/>
      <c r="B1" s="945"/>
      <c r="C1" s="871" t="str">
        <f>Terrap.!C1</f>
        <v>ESTADO DE MATO GROSSO</v>
      </c>
      <c r="D1" s="871"/>
      <c r="E1" s="871"/>
      <c r="F1" s="871"/>
      <c r="G1" s="871"/>
      <c r="H1" s="871"/>
      <c r="I1" s="871"/>
      <c r="J1" s="872"/>
    </row>
    <row r="2" spans="1:13" ht="48" customHeight="1" x14ac:dyDescent="0.2">
      <c r="A2" s="946"/>
      <c r="B2" s="947"/>
      <c r="C2" s="874" t="str">
        <f>Terrap.!C2</f>
        <v>PREFEITURA MUNICIPAL DE JACIARA</v>
      </c>
      <c r="D2" s="874"/>
      <c r="E2" s="874"/>
      <c r="F2" s="874"/>
      <c r="G2" s="874"/>
      <c r="H2" s="874"/>
      <c r="I2" s="874"/>
      <c r="J2" s="875"/>
    </row>
    <row r="3" spans="1:13" ht="15" x14ac:dyDescent="0.2">
      <c r="A3" s="459" t="s">
        <v>57</v>
      </c>
      <c r="B3" s="876" t="str">
        <f>Terrap.!B3</f>
        <v>PAVIMENTAÇÃO ASFALTICA EM TSD</v>
      </c>
      <c r="C3" s="876"/>
      <c r="D3" s="876"/>
      <c r="E3" s="876"/>
      <c r="F3" s="876"/>
      <c r="G3" s="876"/>
      <c r="H3" s="876"/>
      <c r="I3" s="876"/>
      <c r="J3" s="877"/>
    </row>
    <row r="4" spans="1:13" ht="15" x14ac:dyDescent="0.2">
      <c r="A4" s="459" t="s">
        <v>58</v>
      </c>
      <c r="B4" s="876" t="str">
        <f>Terrap.!B4</f>
        <v>DIVERSAS RUAS - DISTRITO DE CELMA</v>
      </c>
      <c r="C4" s="876"/>
      <c r="D4" s="876"/>
      <c r="E4" s="876"/>
      <c r="F4" s="876"/>
      <c r="G4" s="876"/>
      <c r="H4" s="876"/>
      <c r="I4" s="880" t="str">
        <f>Terrap.!I4</f>
        <v>SINAPI - JANEIRO / 2019                                                                             ANP 12/2018 (com desoneração)</v>
      </c>
      <c r="J4" s="881"/>
    </row>
    <row r="5" spans="1:13" ht="15" x14ac:dyDescent="0.2">
      <c r="A5" s="459" t="s">
        <v>59</v>
      </c>
      <c r="B5" s="876" t="str">
        <f>Terrap.!B5</f>
        <v>PREFEITURA MUNICIPAL DE JACIARA</v>
      </c>
      <c r="C5" s="876"/>
      <c r="D5" s="876"/>
      <c r="E5" s="464" t="s">
        <v>455</v>
      </c>
      <c r="F5" s="878" t="str">
        <f>Terrap.!F5</f>
        <v>FEVEREIRO 2019</v>
      </c>
      <c r="G5" s="878"/>
      <c r="H5" s="878"/>
      <c r="I5" s="880"/>
      <c r="J5" s="881"/>
    </row>
    <row r="6" spans="1:13" ht="15.75" thickBot="1" x14ac:dyDescent="0.25">
      <c r="A6" s="465" t="s">
        <v>60</v>
      </c>
      <c r="B6" s="879">
        <f>Pavim.!B6</f>
        <v>3632.82</v>
      </c>
      <c r="C6" s="879"/>
      <c r="D6" s="879"/>
      <c r="E6" s="466" t="s">
        <v>61</v>
      </c>
      <c r="F6" s="948">
        <f>Terrap.!F6</f>
        <v>0.26019999999999999</v>
      </c>
      <c r="G6" s="948"/>
      <c r="H6" s="466" t="s">
        <v>62</v>
      </c>
      <c r="I6" s="882"/>
      <c r="J6" s="883"/>
    </row>
    <row r="7" spans="1:13" ht="19.5" customHeight="1" thickBot="1" x14ac:dyDescent="0.25">
      <c r="A7" s="1023" t="s">
        <v>256</v>
      </c>
      <c r="B7" s="1024"/>
      <c r="C7" s="1024"/>
      <c r="D7" s="1024"/>
      <c r="E7" s="1024"/>
      <c r="F7" s="1024"/>
      <c r="G7" s="1024"/>
      <c r="H7" s="1024"/>
      <c r="I7" s="1024"/>
      <c r="J7" s="1025"/>
    </row>
    <row r="8" spans="1:13" ht="20.25" customHeight="1" x14ac:dyDescent="0.2">
      <c r="A8" s="1003" t="s">
        <v>63</v>
      </c>
      <c r="B8" s="1000" t="s">
        <v>64</v>
      </c>
      <c r="C8" s="1000" t="s">
        <v>466</v>
      </c>
      <c r="D8" s="1000"/>
      <c r="E8" s="1000" t="s">
        <v>491</v>
      </c>
      <c r="F8" s="1000" t="s">
        <v>68</v>
      </c>
      <c r="G8" s="1000"/>
      <c r="H8" s="1000"/>
      <c r="I8" s="1000"/>
      <c r="J8" s="940" t="s">
        <v>494</v>
      </c>
    </row>
    <row r="9" spans="1:13" ht="24.75" customHeight="1" x14ac:dyDescent="0.2">
      <c r="A9" s="942"/>
      <c r="B9" s="943"/>
      <c r="C9" s="555" t="s">
        <v>75</v>
      </c>
      <c r="D9" s="555" t="s">
        <v>104</v>
      </c>
      <c r="E9" s="943"/>
      <c r="F9" s="555" t="s">
        <v>70</v>
      </c>
      <c r="G9" s="555" t="s">
        <v>71</v>
      </c>
      <c r="H9" s="555" t="s">
        <v>492</v>
      </c>
      <c r="I9" s="555" t="s">
        <v>493</v>
      </c>
      <c r="J9" s="941"/>
    </row>
    <row r="10" spans="1:13" ht="14.25" x14ac:dyDescent="0.2">
      <c r="A10" s="942" t="str">
        <f>Terrap.!A10</f>
        <v>TRECHO 01</v>
      </c>
      <c r="B10" s="943"/>
      <c r="C10" s="943"/>
      <c r="D10" s="943"/>
      <c r="E10" s="943"/>
      <c r="F10" s="943"/>
      <c r="G10" s="943"/>
      <c r="H10" s="943"/>
      <c r="I10" s="943"/>
      <c r="J10" s="1002"/>
    </row>
    <row r="11" spans="1:13" ht="15" x14ac:dyDescent="0.2">
      <c r="A11" s="667">
        <f>Pavim.!A11</f>
        <v>1</v>
      </c>
      <c r="B11" s="550" t="str">
        <f>Pavim.!B11</f>
        <v>AVENIDA PRINCIPAL</v>
      </c>
      <c r="C11" s="446">
        <f>216+109.44+110.05</f>
        <v>435.49</v>
      </c>
      <c r="D11" s="446">
        <f>106.22+109.38+112.02+109.47</f>
        <v>437.09</v>
      </c>
      <c r="E11" s="446">
        <f t="shared" ref="E11" si="0">D11+C11</f>
        <v>872.58</v>
      </c>
      <c r="F11" s="551" t="str">
        <f>Terrap.!F11</f>
        <v>LR-01</v>
      </c>
      <c r="G11" s="447">
        <f>Terrap.!G11</f>
        <v>8</v>
      </c>
      <c r="H11" s="448">
        <v>9.81</v>
      </c>
      <c r="I11" s="448">
        <f t="shared" ref="I11" si="1">H11*G11</f>
        <v>78.48</v>
      </c>
      <c r="J11" s="673">
        <f t="shared" ref="J11" si="2">I11+E11</f>
        <v>951.06</v>
      </c>
    </row>
    <row r="12" spans="1:13" ht="15" x14ac:dyDescent="0.2">
      <c r="A12" s="667"/>
      <c r="B12" s="550"/>
      <c r="C12" s="446"/>
      <c r="D12" s="446"/>
      <c r="E12" s="446"/>
      <c r="F12" s="551"/>
      <c r="G12" s="447"/>
      <c r="H12" s="448"/>
      <c r="I12" s="448"/>
      <c r="J12" s="673"/>
    </row>
    <row r="13" spans="1:13" ht="15" x14ac:dyDescent="0.2">
      <c r="A13" s="667"/>
      <c r="B13" s="550"/>
      <c r="C13" s="446"/>
      <c r="D13" s="446"/>
      <c r="E13" s="446"/>
      <c r="F13" s="551"/>
      <c r="G13" s="447"/>
      <c r="H13" s="448"/>
      <c r="I13" s="448"/>
      <c r="J13" s="673"/>
    </row>
    <row r="14" spans="1:13" ht="15" x14ac:dyDescent="0.2">
      <c r="A14" s="942" t="s">
        <v>76</v>
      </c>
      <c r="B14" s="943"/>
      <c r="C14" s="449">
        <f>SUM(C11:C13)</f>
        <v>435.49</v>
      </c>
      <c r="D14" s="449"/>
      <c r="E14" s="449">
        <f>SUM(E11:E13)</f>
        <v>872.58</v>
      </c>
      <c r="F14" s="551"/>
      <c r="G14" s="447"/>
      <c r="H14" s="451"/>
      <c r="I14" s="449">
        <f>SUM(I11:I13)</f>
        <v>78.48</v>
      </c>
      <c r="J14" s="452">
        <f>SUM(J11:J13)</f>
        <v>951.06</v>
      </c>
      <c r="M14" s="331"/>
    </row>
    <row r="15" spans="1:13" ht="15" thickBot="1" x14ac:dyDescent="0.25">
      <c r="A15" s="929" t="s">
        <v>245</v>
      </c>
      <c r="B15" s="930"/>
      <c r="C15" s="931">
        <f>I14+E14</f>
        <v>951.06</v>
      </c>
      <c r="D15" s="931"/>
      <c r="E15" s="931"/>
      <c r="F15" s="931"/>
      <c r="G15" s="931"/>
      <c r="H15" s="931"/>
      <c r="I15" s="931"/>
      <c r="J15" s="932"/>
    </row>
    <row r="18" spans="2:2" ht="24.75" customHeight="1" x14ac:dyDescent="0.2"/>
    <row r="19" spans="2:2" ht="15.75" x14ac:dyDescent="0.2">
      <c r="B19" s="475" t="str">
        <f>Terrap.!B16</f>
        <v xml:space="preserve">  </v>
      </c>
    </row>
    <row r="20" spans="2:2" x14ac:dyDescent="0.2">
      <c r="B20" s="476" t="str">
        <f>Terrap.!B17</f>
        <v xml:space="preserve">   </v>
      </c>
    </row>
  </sheetData>
  <mergeCells count="21">
    <mergeCell ref="C1:J1"/>
    <mergeCell ref="C2:J2"/>
    <mergeCell ref="A1:B2"/>
    <mergeCell ref="A14:B14"/>
    <mergeCell ref="A15:B15"/>
    <mergeCell ref="C15:J15"/>
    <mergeCell ref="A7:J7"/>
    <mergeCell ref="A8:A9"/>
    <mergeCell ref="B8:B9"/>
    <mergeCell ref="C8:D8"/>
    <mergeCell ref="E8:E9"/>
    <mergeCell ref="F8:I8"/>
    <mergeCell ref="J8:J9"/>
    <mergeCell ref="B3:J3"/>
    <mergeCell ref="B4:H4"/>
    <mergeCell ref="I4:J6"/>
    <mergeCell ref="B5:D5"/>
    <mergeCell ref="F5:H5"/>
    <mergeCell ref="B6:D6"/>
    <mergeCell ref="F6:G6"/>
    <mergeCell ref="A10:J10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28</vt:i4>
      </vt:variant>
    </vt:vector>
  </HeadingPairs>
  <TitlesOfParts>
    <vt:vector size="54" baseType="lpstr">
      <vt:lpstr>Ruas Ben</vt:lpstr>
      <vt:lpstr>M. Calc Dre</vt:lpstr>
      <vt:lpstr>Terrap.</vt:lpstr>
      <vt:lpstr>Cub</vt:lpstr>
      <vt:lpstr>BASE E SUB</vt:lpstr>
      <vt:lpstr>Pavim.</vt:lpstr>
      <vt:lpstr>MAT. PETREO</vt:lpstr>
      <vt:lpstr>MAT BETUMINOSO</vt:lpstr>
      <vt:lpstr>MF e Sarj.</vt:lpstr>
      <vt:lpstr>CALÇADA</vt:lpstr>
      <vt:lpstr>PISO TATIL</vt:lpstr>
      <vt:lpstr>Sinal.</vt:lpstr>
      <vt:lpstr>Comp. TSD E CAPA</vt:lpstr>
      <vt:lpstr>Mem. Calc.</vt:lpstr>
      <vt:lpstr>Orçam.</vt:lpstr>
      <vt:lpstr>Resumo</vt:lpstr>
      <vt:lpstr>Crono Basico</vt:lpstr>
      <vt:lpstr>Crono Comp.</vt:lpstr>
      <vt:lpstr>BDI</vt:lpstr>
      <vt:lpstr>QCI</vt:lpstr>
      <vt:lpstr>ADM LOCAL</vt:lpstr>
      <vt:lpstr>Compo. Capa</vt:lpstr>
      <vt:lpstr>COMP PV</vt:lpstr>
      <vt:lpstr>COMP PISO TATIL</vt:lpstr>
      <vt:lpstr>Unit Betum</vt:lpstr>
      <vt:lpstr>CRON 2</vt:lpstr>
      <vt:lpstr>'ADM LOCAL'!Area_de_impressao</vt:lpstr>
      <vt:lpstr>BDI!Area_de_impressao</vt:lpstr>
      <vt:lpstr>'COMP PISO TATIL'!Area_de_impressao</vt:lpstr>
      <vt:lpstr>'COMP PV'!Area_de_impressao</vt:lpstr>
      <vt:lpstr>'Compo. Capa'!Area_de_impressao</vt:lpstr>
      <vt:lpstr>'CRON 2'!Area_de_impressao</vt:lpstr>
      <vt:lpstr>'Crono Basico'!Area_de_impressao</vt:lpstr>
      <vt:lpstr>'Crono Comp.'!Area_de_impressao</vt:lpstr>
      <vt:lpstr>Cub!Area_de_impressao</vt:lpstr>
      <vt:lpstr>'M. Calc Dre'!Area_de_impressao</vt:lpstr>
      <vt:lpstr>'MAT. PETREO'!Area_de_impressao</vt:lpstr>
      <vt:lpstr>'Mem. Calc.'!Area_de_impressao</vt:lpstr>
      <vt:lpstr>Orçam.!Area_de_impressao</vt:lpstr>
      <vt:lpstr>'PISO TATIL'!Area_de_impressao</vt:lpstr>
      <vt:lpstr>QCI!Area_de_impressao</vt:lpstr>
      <vt:lpstr>Resumo!Area_de_impressao</vt:lpstr>
      <vt:lpstr>'Ruas Ben'!Area_de_impressao</vt:lpstr>
      <vt:lpstr>Sinal.!Area_de_impressao</vt:lpstr>
      <vt:lpstr>Terrap.!Area_de_impressao</vt:lpstr>
      <vt:lpstr>'Unit Betum'!Area_de_impressao</vt:lpstr>
      <vt:lpstr>'Compo. Capa'!Titulos_de_impressao</vt:lpstr>
      <vt:lpstr>'CRON 2'!Titulos_de_impressao</vt:lpstr>
      <vt:lpstr>'Crono Basico'!Titulos_de_impressao</vt:lpstr>
      <vt:lpstr>'Crono Comp.'!Titulos_de_impressao</vt:lpstr>
      <vt:lpstr>Cub!Titulos_de_impressao</vt:lpstr>
      <vt:lpstr>'Mem. Calc.'!Titulos_de_impressao</vt:lpstr>
      <vt:lpstr>Orçam.!Titulos_de_impressao</vt:lpstr>
      <vt:lpstr>'Unit Betum'!Titulos_de_impressao</vt:lpstr>
    </vt:vector>
  </TitlesOfParts>
  <Company>PNUD/BRA/00/027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usuario</cp:lastModifiedBy>
  <cp:lastPrinted>2017-11-06T12:09:53Z</cp:lastPrinted>
  <dcterms:created xsi:type="dcterms:W3CDTF">2005-05-25T12:35:26Z</dcterms:created>
  <dcterms:modified xsi:type="dcterms:W3CDTF">2019-04-03T19:12:02Z</dcterms:modified>
</cp:coreProperties>
</file>